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Калькуляция 17-18 общая" sheetId="9" r:id="rId1"/>
  </sheets>
  <definedNames>
    <definedName name="_xlnm.Print_Area" localSheetId="0">'Калькуляция 17-18 общая'!$A$1:$G$97</definedName>
  </definedNames>
  <calcPr calcId="152511"/>
</workbook>
</file>

<file path=xl/calcChain.xml><?xml version="1.0" encoding="utf-8"?>
<calcChain xmlns="http://schemas.openxmlformats.org/spreadsheetml/2006/main">
  <c r="H9" i="9" l="1"/>
  <c r="H33" i="9"/>
  <c r="H70" i="9"/>
  <c r="H87" i="9"/>
  <c r="C11" i="9"/>
  <c r="G78" i="9" l="1"/>
  <c r="F52" i="9" l="1"/>
  <c r="I70" i="9"/>
  <c r="I87" i="9" l="1"/>
  <c r="C9" i="9" l="1"/>
  <c r="C81" i="9"/>
  <c r="C82" i="9"/>
  <c r="D82" i="9" s="1"/>
  <c r="F82" i="9" s="1"/>
  <c r="C83" i="9"/>
  <c r="D83" i="9" s="1"/>
  <c r="F83" i="9" s="1"/>
  <c r="C84" i="9"/>
  <c r="D84" i="9" s="1"/>
  <c r="F84" i="9" s="1"/>
  <c r="D9" i="9"/>
  <c r="F9" i="9" s="1"/>
  <c r="D81" i="9" l="1"/>
  <c r="D80" i="9"/>
  <c r="E9" i="9"/>
  <c r="G9" i="9"/>
  <c r="F80" i="9" l="1"/>
  <c r="E80" i="9"/>
  <c r="G80" i="9" s="1"/>
  <c r="F81" i="9"/>
  <c r="C65" i="9" l="1"/>
  <c r="D65" i="9" s="1"/>
  <c r="D79" i="9"/>
  <c r="C24" i="9"/>
  <c r="D24" i="9" s="1"/>
  <c r="F24" i="9" s="1"/>
  <c r="C48" i="9"/>
  <c r="D48" i="9" s="1"/>
  <c r="C15" i="9"/>
  <c r="D15" i="9" s="1"/>
  <c r="F15" i="9" s="1"/>
  <c r="C20" i="9"/>
  <c r="C26" i="9"/>
  <c r="C44" i="9"/>
  <c r="C50" i="9"/>
  <c r="C56" i="9"/>
  <c r="C62" i="9"/>
  <c r="C19" i="9"/>
  <c r="C43" i="9"/>
  <c r="C55" i="9"/>
  <c r="C17" i="9"/>
  <c r="C21" i="9"/>
  <c r="C27" i="9"/>
  <c r="C45" i="9"/>
  <c r="C51" i="9"/>
  <c r="C57" i="9"/>
  <c r="C63" i="9"/>
  <c r="C13" i="9"/>
  <c r="D13" i="9" s="1"/>
  <c r="F13" i="9" s="1"/>
  <c r="C30" i="9"/>
  <c r="D30" i="9" s="1"/>
  <c r="C61" i="9"/>
  <c r="C12" i="9"/>
  <c r="C18" i="9"/>
  <c r="C22" i="9"/>
  <c r="C28" i="9"/>
  <c r="C41" i="9"/>
  <c r="C46" i="9"/>
  <c r="D46" i="9" s="1"/>
  <c r="G46" i="9" s="1"/>
  <c r="F46" i="9" s="1"/>
  <c r="C53" i="9"/>
  <c r="C59" i="9"/>
  <c r="D59" i="9" s="1"/>
  <c r="F79" i="9" l="1"/>
  <c r="E79" i="9"/>
  <c r="G79" i="9" s="1"/>
  <c r="D29" i="9"/>
  <c r="F29" i="9" s="1"/>
  <c r="F30" i="9"/>
  <c r="D53" i="9"/>
  <c r="E53" i="9" s="1"/>
  <c r="E15" i="9"/>
  <c r="G15" i="9"/>
  <c r="E30" i="9"/>
  <c r="G30" i="9"/>
  <c r="E48" i="9"/>
  <c r="G48" i="9"/>
  <c r="F48" i="9" s="1"/>
  <c r="E59" i="9"/>
  <c r="G59" i="9"/>
  <c r="F59" i="9" s="1"/>
  <c r="E46" i="9"/>
  <c r="E13" i="9"/>
  <c r="G13" i="9"/>
  <c r="E24" i="9"/>
  <c r="G24" i="9"/>
  <c r="E65" i="9"/>
  <c r="G65" i="9"/>
  <c r="F65" i="9" s="1"/>
  <c r="D76" i="9"/>
  <c r="C10" i="9"/>
  <c r="C25" i="9"/>
  <c r="F76" i="9" l="1"/>
  <c r="E76" i="9"/>
  <c r="G76" i="9" s="1"/>
  <c r="C87" i="9"/>
  <c r="D86" i="9" l="1"/>
  <c r="F86" i="9" s="1"/>
  <c r="D85" i="9"/>
  <c r="E85" i="9" s="1"/>
  <c r="G85" i="9" s="1"/>
  <c r="D78" i="9"/>
  <c r="D77" i="9"/>
  <c r="D64" i="9"/>
  <c r="C64" i="9"/>
  <c r="D63" i="9"/>
  <c r="D62" i="9"/>
  <c r="D61" i="9"/>
  <c r="D57" i="9"/>
  <c r="E57" i="9" s="1"/>
  <c r="D56" i="9"/>
  <c r="E56" i="9" s="1"/>
  <c r="D55" i="9"/>
  <c r="E55" i="9" s="1"/>
  <c r="C54" i="9"/>
  <c r="D51" i="9"/>
  <c r="D50" i="9"/>
  <c r="C49" i="9"/>
  <c r="D49" i="9" s="1"/>
  <c r="D45" i="9"/>
  <c r="D44" i="9"/>
  <c r="D43" i="9"/>
  <c r="C42" i="9"/>
  <c r="D42" i="9" s="1"/>
  <c r="D28" i="9"/>
  <c r="F28" i="9" s="1"/>
  <c r="D27" i="9"/>
  <c r="F27" i="9" s="1"/>
  <c r="D26" i="9"/>
  <c r="F26" i="9" s="1"/>
  <c r="D25" i="9"/>
  <c r="F25" i="9" s="1"/>
  <c r="D22" i="9"/>
  <c r="F22" i="9" s="1"/>
  <c r="D21" i="9"/>
  <c r="F21" i="9" s="1"/>
  <c r="D20" i="9"/>
  <c r="F20" i="9" s="1"/>
  <c r="D19" i="9"/>
  <c r="F19" i="9" s="1"/>
  <c r="D18" i="9"/>
  <c r="F18" i="9" s="1"/>
  <c r="D17" i="9"/>
  <c r="F17" i="9" s="1"/>
  <c r="D12" i="9"/>
  <c r="F12" i="9" s="1"/>
  <c r="D11" i="9"/>
  <c r="F11" i="9" s="1"/>
  <c r="D10" i="9"/>
  <c r="F10" i="9" s="1"/>
  <c r="F77" i="9" l="1"/>
  <c r="E77" i="9"/>
  <c r="G77" i="9" s="1"/>
  <c r="F85" i="9"/>
  <c r="G87" i="9"/>
  <c r="F78" i="9"/>
  <c r="G27" i="9"/>
  <c r="E27" i="9"/>
  <c r="E50" i="9"/>
  <c r="G50" i="9"/>
  <c r="F50" i="9" s="1"/>
  <c r="E10" i="9"/>
  <c r="G10" i="9"/>
  <c r="E18" i="9"/>
  <c r="G18" i="9"/>
  <c r="G22" i="9"/>
  <c r="E22" i="9"/>
  <c r="G28" i="9"/>
  <c r="E28" i="9"/>
  <c r="E44" i="9"/>
  <c r="G44" i="9"/>
  <c r="F44" i="9" s="1"/>
  <c r="E51" i="9"/>
  <c r="G51" i="9"/>
  <c r="F51" i="9" s="1"/>
  <c r="G17" i="9"/>
  <c r="E17" i="9"/>
  <c r="E43" i="9"/>
  <c r="G43" i="9"/>
  <c r="F43" i="9" s="1"/>
  <c r="E63" i="9"/>
  <c r="G63" i="9"/>
  <c r="F63" i="9" s="1"/>
  <c r="G11" i="9"/>
  <c r="E11" i="9"/>
  <c r="E19" i="9"/>
  <c r="G19" i="9"/>
  <c r="G25" i="9"/>
  <c r="E25" i="9"/>
  <c r="E29" i="9"/>
  <c r="G29" i="9"/>
  <c r="E45" i="9"/>
  <c r="G45" i="9"/>
  <c r="F45" i="9" s="1"/>
  <c r="E61" i="9"/>
  <c r="G61" i="9"/>
  <c r="F61" i="9" s="1"/>
  <c r="E64" i="9"/>
  <c r="G64" i="9"/>
  <c r="F64" i="9" s="1"/>
  <c r="E21" i="9"/>
  <c r="G21" i="9"/>
  <c r="G12" i="9"/>
  <c r="E12" i="9"/>
  <c r="G20" i="9"/>
  <c r="E20" i="9"/>
  <c r="G26" i="9"/>
  <c r="E26" i="9"/>
  <c r="E42" i="9"/>
  <c r="G42" i="9"/>
  <c r="F42" i="9" s="1"/>
  <c r="E49" i="9"/>
  <c r="G49" i="9"/>
  <c r="F49" i="9" s="1"/>
  <c r="E62" i="9"/>
  <c r="G62" i="9"/>
  <c r="F62" i="9" s="1"/>
  <c r="D87" i="9"/>
  <c r="F87" i="9" s="1"/>
  <c r="D54" i="9"/>
  <c r="E54" i="9" s="1"/>
  <c r="C52" i="9"/>
  <c r="D52" i="9" s="1"/>
  <c r="E52" i="9" s="1"/>
  <c r="D8" i="9"/>
  <c r="D41" i="9"/>
  <c r="C16" i="9"/>
  <c r="D16" i="9" s="1"/>
  <c r="F16" i="9" s="1"/>
  <c r="C60" i="9"/>
  <c r="D60" i="9" s="1"/>
  <c r="C8" i="9"/>
  <c r="C40" i="9"/>
  <c r="C23" i="9"/>
  <c r="D23" i="9" s="1"/>
  <c r="F23" i="9" s="1"/>
  <c r="C29" i="9"/>
  <c r="C47" i="9"/>
  <c r="D47" i="9" s="1"/>
  <c r="F8" i="9" l="1"/>
  <c r="G8" i="9"/>
  <c r="E87" i="9"/>
  <c r="E8" i="9"/>
  <c r="E23" i="9"/>
  <c r="G23" i="9"/>
  <c r="G16" i="9"/>
  <c r="E16" i="9"/>
  <c r="E47" i="9"/>
  <c r="G47" i="9"/>
  <c r="F47" i="9" s="1"/>
  <c r="E60" i="9"/>
  <c r="G60" i="9"/>
  <c r="F60" i="9" s="1"/>
  <c r="D40" i="9"/>
  <c r="E41" i="9"/>
  <c r="G41" i="9"/>
  <c r="F41" i="9" s="1"/>
  <c r="C14" i="9"/>
  <c r="D14" i="9" s="1"/>
  <c r="F14" i="9" s="1"/>
  <c r="C58" i="9"/>
  <c r="D58" i="9" s="1"/>
  <c r="E40" i="9" l="1"/>
  <c r="G40" i="9"/>
  <c r="F40" i="9" s="1"/>
  <c r="E58" i="9"/>
  <c r="G58" i="9"/>
  <c r="F58" i="9" s="1"/>
  <c r="E14" i="9"/>
  <c r="G14" i="9"/>
  <c r="C66" i="9"/>
  <c r="C31" i="9"/>
  <c r="C67" i="9"/>
  <c r="D67" i="9" s="1"/>
  <c r="E67" i="9" s="1"/>
  <c r="D66" i="9" l="1"/>
  <c r="E66" i="9" s="1"/>
  <c r="G66" i="9"/>
  <c r="D68" i="9"/>
  <c r="E68" i="9" s="1"/>
  <c r="D31" i="9"/>
  <c r="F31" i="9" s="1"/>
  <c r="C68" i="9"/>
  <c r="C32" i="9"/>
  <c r="D32" i="9" s="1"/>
  <c r="F32" i="9" s="1"/>
  <c r="G67" i="9" l="1"/>
  <c r="F66" i="9"/>
  <c r="E32" i="9"/>
  <c r="G32" i="9"/>
  <c r="E31" i="9"/>
  <c r="D33" i="9"/>
  <c r="F33" i="9" s="1"/>
  <c r="G31" i="9"/>
  <c r="C33" i="9"/>
  <c r="G68" i="9" l="1"/>
  <c r="F68" i="9" s="1"/>
  <c r="F89" i="9" s="1"/>
  <c r="F67" i="9"/>
  <c r="E33" i="9"/>
  <c r="E89" i="9" s="1"/>
  <c r="D89" i="9"/>
  <c r="G33" i="9"/>
  <c r="G89" i="9" s="1"/>
</calcChain>
</file>

<file path=xl/sharedStrings.xml><?xml version="1.0" encoding="utf-8"?>
<sst xmlns="http://schemas.openxmlformats.org/spreadsheetml/2006/main" count="132" uniqueCount="76">
  <si>
    <t>Итого по разделам 1-6</t>
  </si>
  <si>
    <t>КАЛЬКУЛЯЦИЯ</t>
  </si>
  <si>
    <t>Наименование статей</t>
  </si>
  <si>
    <t>Затраты в месяц на всю площадь, руб.</t>
  </si>
  <si>
    <t>1.</t>
  </si>
  <si>
    <t>Технические осмотры и обходы жилых домов. Подготовка жилых зданий к сезонной эксплуатации. Мероприятия по пожарной безопасности.</t>
  </si>
  <si>
    <t>1. Оплата труда рабочих, выполняющих осмотры и техническое обслуживание жилых знадний</t>
  </si>
  <si>
    <t>2. Страховые взносы 20,3%</t>
  </si>
  <si>
    <t>3. Затраты на материалы</t>
  </si>
  <si>
    <t>4. Прочие расходы</t>
  </si>
  <si>
    <t>2.</t>
  </si>
  <si>
    <t>Техническое обслуживание внутридомовых сетей электроснабжения</t>
  </si>
  <si>
    <t>3.</t>
  </si>
  <si>
    <t>Благоустройство и обеспечение санитарного состояния жилых зданий и придомовой территориии.</t>
  </si>
  <si>
    <t>1. Оплата труда рабочих, занятых обслуживанием жилых домов и придомовой территории.</t>
  </si>
  <si>
    <t>3. Услуги сторонних организаций</t>
  </si>
  <si>
    <t>4. Вывоз основной массы не бытового мусора и дворового смета</t>
  </si>
  <si>
    <t>5. Содержание и обустройство контейнерных площадок для сбора ТБО</t>
  </si>
  <si>
    <t>6. Транспортные расходы</t>
  </si>
  <si>
    <t>7. Прочие расходы</t>
  </si>
  <si>
    <t>4.</t>
  </si>
  <si>
    <t>Техническое обслуживание внутридомовых газовых сетей.</t>
  </si>
  <si>
    <t>5.</t>
  </si>
  <si>
    <t>Общеэксплуатационные расходы</t>
  </si>
  <si>
    <t>1. Оплата труда работников</t>
  </si>
  <si>
    <t>3. Амортизационные отчисления</t>
  </si>
  <si>
    <t>4. Содержание конторских и хоз.помещений</t>
  </si>
  <si>
    <t>5. Прочие расходы</t>
  </si>
  <si>
    <t>6.</t>
  </si>
  <si>
    <t>Прочие прямые затраты</t>
  </si>
  <si>
    <t>1. Сборы и отчисления</t>
  </si>
  <si>
    <t xml:space="preserve">7. </t>
  </si>
  <si>
    <t>Рентабельность  (5%)</t>
  </si>
  <si>
    <t>ИТОГО РАСХОДОВ</t>
  </si>
  <si>
    <t>Текущий ремонт конструктивных элементов жилых зданий</t>
  </si>
  <si>
    <t>1. Оплата труда рабочих</t>
  </si>
  <si>
    <t>2. Страховые взносы  20,3%</t>
  </si>
  <si>
    <t>4. Транспортные расходы</t>
  </si>
  <si>
    <t>Ремонт внутридомовых сетей электроснабжения, общедомовых приборов учета электрической энергии</t>
  </si>
  <si>
    <t>Ремонт внутридомового инженерного оборудования водопровдных и канализационных сетей, общедомовых приборов учета холодной воды</t>
  </si>
  <si>
    <t>Рентабельность</t>
  </si>
  <si>
    <r>
      <t xml:space="preserve">на экономически обоснованный тариф по </t>
    </r>
    <r>
      <rPr>
        <b/>
        <u/>
        <sz val="12"/>
        <rFont val="Times New Roman"/>
        <family val="1"/>
        <charset val="204"/>
      </rPr>
      <t>управлению</t>
    </r>
  </si>
  <si>
    <r>
      <t xml:space="preserve">на экономически обоснованный тариф по </t>
    </r>
    <r>
      <rPr>
        <b/>
        <u/>
        <sz val="12"/>
        <rFont val="Times New Roman"/>
        <family val="1"/>
        <charset val="204"/>
      </rPr>
      <t>текущему ремонту</t>
    </r>
  </si>
  <si>
    <r>
      <t xml:space="preserve">на экономически обоснованный тариф по </t>
    </r>
    <r>
      <rPr>
        <b/>
        <u/>
        <sz val="12"/>
        <rFont val="Times New Roman"/>
        <family val="1"/>
        <charset val="204"/>
      </rPr>
      <t>содержанию</t>
    </r>
  </si>
  <si>
    <t>№</t>
  </si>
  <si>
    <t xml:space="preserve"> жилья на 1 м2 общей площади в месяц</t>
  </si>
  <si>
    <t xml:space="preserve"> на 1 м2 общей площади в месяц</t>
  </si>
  <si>
    <t>Приложение</t>
  </si>
  <si>
    <t>Общая площадь* м2</t>
  </si>
  <si>
    <t>7.</t>
  </si>
  <si>
    <t>ВСЕГО:</t>
  </si>
  <si>
    <t>индекс повышение с 1.07.2017</t>
  </si>
  <si>
    <t>с 01.07.2017 по 30.06.2018</t>
  </si>
  <si>
    <t>**Для МКЖД с ОАГВ, полностью без центр. отопления, п.4 калькуляции не применяется</t>
  </si>
  <si>
    <t>* Общая площадь м2</t>
  </si>
  <si>
    <t>** Тариф для НСУ с ОАГВ, без центр. отопления</t>
  </si>
  <si>
    <r>
      <t>Тариф для НСУ</t>
    </r>
    <r>
      <rPr>
        <sz val="11"/>
        <color indexed="8"/>
        <rFont val="Times New Roman"/>
        <family val="1"/>
        <charset val="204"/>
      </rPr>
      <t xml:space="preserve"> (в мес. / 1 м2), руб.</t>
    </r>
  </si>
  <si>
    <r>
      <rPr>
        <b/>
        <sz val="11"/>
        <color indexed="8"/>
        <rFont val="Times New Roman"/>
        <family val="1"/>
        <charset val="204"/>
      </rPr>
      <t>Тариф для Управления        (</t>
    </r>
    <r>
      <rPr>
        <sz val="11"/>
        <color indexed="8"/>
        <rFont val="Times New Roman"/>
        <family val="1"/>
        <charset val="204"/>
      </rPr>
      <t>в мес. / 1 м2), руб.</t>
    </r>
  </si>
  <si>
    <t>Центральное отопление</t>
  </si>
  <si>
    <t>Водоснабжение, водоотведение</t>
  </si>
  <si>
    <t>Энергоснабжение</t>
  </si>
  <si>
    <t>в т.ч. Содержание и ремонт помещений</t>
  </si>
  <si>
    <t>** Тариф для Управления с ОАГВ, без центр. отопления</t>
  </si>
  <si>
    <t>*Калькуляция рассчитана на площадь, учтенной при выборе средних (преобладающих) условий - 86980 м2</t>
  </si>
  <si>
    <r>
      <t xml:space="preserve">2. Сбор, вывоз и утилизация твердых бытовых отходов (ТБО): - </t>
    </r>
    <r>
      <rPr>
        <b/>
        <sz val="13"/>
        <rFont val="Times New Roman"/>
        <family val="1"/>
        <charset val="204"/>
      </rPr>
      <t>2,81 рублей за 1 кв.м.</t>
    </r>
  </si>
  <si>
    <t>Тарифы, кроме того:</t>
  </si>
  <si>
    <r>
      <t>3. Обслуживание домофонной системы: -</t>
    </r>
    <r>
      <rPr>
        <b/>
        <sz val="13"/>
        <rFont val="Times New Roman"/>
        <family val="1"/>
        <charset val="204"/>
      </rPr>
      <t xml:space="preserve"> 35 рублей с квартиры/мес</t>
    </r>
  </si>
  <si>
    <r>
      <t xml:space="preserve">1. Размер платы за обслуживание и ремонт общедомовых приборов учета тепловой энергии для многоквартирных домов, оборудованных общедом. приборами учета тепловой энергии: - </t>
    </r>
    <r>
      <rPr>
        <b/>
        <sz val="13"/>
        <rFont val="Times New Roman"/>
        <family val="1"/>
        <charset val="204"/>
      </rPr>
      <t>0,96 руб. за 1 кв.м</t>
    </r>
  </si>
  <si>
    <t>**Ремонт внутридомовой разводки центрального отопления</t>
  </si>
  <si>
    <t>Услуги по сборам платежей (платежные агенты по сбору платежей с населения Почта, СБ, ОТП банк и т.п.) Содержание и обслуживание банковских р/счетов</t>
  </si>
  <si>
    <t>Услуги по начислению, доставке платежных документов, учету платежей, ведение электр.базы, сверке, выдаче справок, формированию отчетов, информирование населения о тарифах, канцтовары и пр.</t>
  </si>
  <si>
    <t>АУП управляющей организации. Работа по раскрытию информации УК, оформление стенда, обслуживание сайтов УК, Реформа ЖКХ, ГИС ЖКХ. Работа по ведению и хранению тех.документации на МКЖД, Протоколов решений собственников, Принятие жалоб и обращений. Лицензия ЖКХ и обучение персонала</t>
  </si>
  <si>
    <t>Аварийно-диспетчерское круглосуточное обслуживание</t>
  </si>
  <si>
    <t>Претензионная работа (Формирование исков, госпошлина, выписки из БТИ, Россреестра, уведомление должникам, транспортные, канцелярские расходы и др.) Информационная работа с населением.</t>
  </si>
  <si>
    <t>Первичный регистрационный учет (услуги паспортиста прописка, перепрописка, справки и др.)</t>
  </si>
  <si>
    <t>Организация учета потребления и контроля качества поставляемых коммунальных услуг (съем показаний с приборов учета КУ, обработка передача сведений в РСО и др.)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</si>
</sst>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0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3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u/>
      <sz val="13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u/>
      <sz val="13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2" fillId="0" borderId="1" xfId="0" applyFont="1" applyBorder="1"/>
    <xf numFmtId="0" fontId="0" fillId="0" borderId="0" xfId="0" applyBorder="1"/>
    <xf numFmtId="2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5" fillId="0" borderId="1" xfId="0" applyFont="1" applyBorder="1"/>
    <xf numFmtId="0" fontId="15" fillId="0" borderId="0" xfId="0" applyFont="1"/>
    <xf numFmtId="2" fontId="16" fillId="0" borderId="1" xfId="0" applyNumberFormat="1" applyFont="1" applyBorder="1"/>
    <xf numFmtId="2" fontId="13" fillId="0" borderId="1" xfId="0" applyNumberFormat="1" applyFont="1" applyBorder="1"/>
    <xf numFmtId="0" fontId="2" fillId="0" borderId="5" xfId="0" applyFont="1" applyBorder="1"/>
    <xf numFmtId="0" fontId="10" fillId="0" borderId="5" xfId="0" applyFont="1" applyBorder="1" applyAlignment="1">
      <alignment horizontal="right"/>
    </xf>
    <xf numFmtId="0" fontId="10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5" xfId="0" applyFont="1" applyBorder="1"/>
    <xf numFmtId="0" fontId="13" fillId="0" borderId="4" xfId="0" applyFont="1" applyBorder="1"/>
    <xf numFmtId="0" fontId="1" fillId="0" borderId="6" xfId="0" applyFont="1" applyBorder="1" applyAlignment="1">
      <alignment horizontal="center" vertical="center"/>
    </xf>
    <xf numFmtId="0" fontId="3" fillId="0" borderId="5" xfId="0" applyFont="1" applyBorder="1"/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2" fontId="23" fillId="0" borderId="4" xfId="0" applyNumberFormat="1" applyFont="1" applyBorder="1"/>
    <xf numFmtId="2" fontId="24" fillId="0" borderId="1" xfId="0" applyNumberFormat="1" applyFont="1" applyBorder="1"/>
    <xf numFmtId="2" fontId="23" fillId="0" borderId="1" xfId="0" applyNumberFormat="1" applyFont="1" applyBorder="1"/>
    <xf numFmtId="2" fontId="23" fillId="0" borderId="1" xfId="0" applyNumberFormat="1" applyFont="1" applyFill="1" applyBorder="1"/>
    <xf numFmtId="2" fontId="20" fillId="0" borderId="1" xfId="0" applyNumberFormat="1" applyFont="1" applyBorder="1"/>
    <xf numFmtId="2" fontId="16" fillId="0" borderId="2" xfId="0" applyNumberFormat="1" applyFont="1" applyBorder="1"/>
    <xf numFmtId="0" fontId="4" fillId="0" borderId="4" xfId="0" applyFont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2" fontId="22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2" fontId="23" fillId="0" borderId="8" xfId="0" applyNumberFormat="1" applyFont="1" applyBorder="1" applyAlignment="1">
      <alignment horizontal="right" vertical="center"/>
    </xf>
    <xf numFmtId="2" fontId="23" fillId="0" borderId="8" xfId="0" applyNumberFormat="1" applyFont="1" applyBorder="1" applyAlignment="1">
      <alignment horizontal="right"/>
    </xf>
    <xf numFmtId="0" fontId="11" fillId="0" borderId="4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3" fillId="0" borderId="8" xfId="0" applyFont="1" applyBorder="1"/>
    <xf numFmtId="2" fontId="16" fillId="0" borderId="9" xfId="0" applyNumberFormat="1" applyFont="1" applyBorder="1"/>
    <xf numFmtId="2" fontId="16" fillId="0" borderId="8" xfId="0" applyNumberFormat="1" applyFont="1" applyBorder="1"/>
    <xf numFmtId="2" fontId="23" fillId="0" borderId="9" xfId="0" applyNumberFormat="1" applyFont="1" applyBorder="1"/>
    <xf numFmtId="0" fontId="13" fillId="0" borderId="6" xfId="0" applyFont="1" applyBorder="1"/>
    <xf numFmtId="2" fontId="25" fillId="0" borderId="6" xfId="0" applyNumberFormat="1" applyFont="1" applyBorder="1" applyAlignment="1">
      <alignment horizontal="center"/>
    </xf>
    <xf numFmtId="0" fontId="18" fillId="0" borderId="11" xfId="0" applyFont="1" applyBorder="1"/>
    <xf numFmtId="2" fontId="28" fillId="0" borderId="1" xfId="0" applyNumberFormat="1" applyFont="1" applyBorder="1"/>
    <xf numFmtId="0" fontId="29" fillId="0" borderId="1" xfId="0" applyFont="1" applyBorder="1" applyAlignment="1">
      <alignment wrapText="1"/>
    </xf>
    <xf numFmtId="2" fontId="22" fillId="0" borderId="4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wrapText="1"/>
    </xf>
    <xf numFmtId="0" fontId="26" fillId="0" borderId="0" xfId="0" applyFont="1"/>
    <xf numFmtId="2" fontId="13" fillId="0" borderId="4" xfId="0" applyNumberFormat="1" applyFont="1" applyBorder="1"/>
    <xf numFmtId="2" fontId="5" fillId="0" borderId="1" xfId="0" applyNumberFormat="1" applyFont="1" applyBorder="1"/>
    <xf numFmtId="2" fontId="13" fillId="0" borderId="8" xfId="0" applyNumberFormat="1" applyFont="1" applyBorder="1"/>
    <xf numFmtId="0" fontId="10" fillId="0" borderId="0" xfId="0" applyFont="1" applyBorder="1" applyAlignment="1">
      <alignment horizontal="right" vertical="center"/>
    </xf>
    <xf numFmtId="2" fontId="27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/>
    </xf>
    <xf numFmtId="164" fontId="0" fillId="0" borderId="0" xfId="0" applyNumberFormat="1"/>
    <xf numFmtId="2" fontId="24" fillId="0" borderId="1" xfId="0" applyNumberFormat="1" applyFont="1" applyFill="1" applyBorder="1"/>
    <xf numFmtId="0" fontId="11" fillId="0" borderId="5" xfId="0" applyFont="1" applyBorder="1" applyAlignment="1">
      <alignment horizontal="left" vertical="center"/>
    </xf>
    <xf numFmtId="2" fontId="32" fillId="0" borderId="1" xfId="0" applyNumberFormat="1" applyFont="1" applyFill="1" applyBorder="1"/>
    <xf numFmtId="2" fontId="32" fillId="0" borderId="1" xfId="0" applyNumberFormat="1" applyFont="1" applyBorder="1"/>
    <xf numFmtId="2" fontId="23" fillId="0" borderId="2" xfId="0" applyNumberFormat="1" applyFont="1" applyBorder="1"/>
    <xf numFmtId="2" fontId="24" fillId="0" borderId="2" xfId="0" applyNumberFormat="1" applyFont="1" applyBorder="1"/>
    <xf numFmtId="2" fontId="28" fillId="0" borderId="2" xfId="0" applyNumberFormat="1" applyFont="1" applyBorder="1"/>
    <xf numFmtId="0" fontId="31" fillId="0" borderId="0" xfId="0" applyFont="1" applyBorder="1" applyAlignment="1">
      <alignment horizontal="center"/>
    </xf>
    <xf numFmtId="0" fontId="9" fillId="0" borderId="7" xfId="0" applyFont="1" applyBorder="1" applyAlignment="1">
      <alignment horizontal="right"/>
    </xf>
    <xf numFmtId="2" fontId="25" fillId="0" borderId="0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35" fillId="0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2" fontId="19" fillId="0" borderId="6" xfId="0" applyNumberFormat="1" applyFont="1" applyBorder="1"/>
    <xf numFmtId="0" fontId="13" fillId="0" borderId="12" xfId="0" applyFont="1" applyBorder="1"/>
    <xf numFmtId="0" fontId="13" fillId="0" borderId="13" xfId="0" applyFont="1" applyBorder="1"/>
    <xf numFmtId="2" fontId="19" fillId="0" borderId="13" xfId="0" applyNumberFormat="1" applyFont="1" applyBorder="1"/>
    <xf numFmtId="2" fontId="25" fillId="0" borderId="13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6" fillId="0" borderId="1" xfId="0" applyFont="1" applyBorder="1" applyAlignment="1">
      <alignment wrapText="1"/>
    </xf>
    <xf numFmtId="0" fontId="36" fillId="0" borderId="8" xfId="0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wrapText="1"/>
    </xf>
    <xf numFmtId="0" fontId="31" fillId="0" borderId="0" xfId="0" applyFont="1" applyBorder="1" applyAlignment="1">
      <alignment horizontal="center"/>
    </xf>
    <xf numFmtId="0" fontId="20" fillId="0" borderId="0" xfId="0" applyFont="1" applyBorder="1"/>
    <xf numFmtId="0" fontId="20" fillId="0" borderId="0" xfId="0" applyFont="1"/>
    <xf numFmtId="0" fontId="20" fillId="0" borderId="0" xfId="0" applyFont="1" applyBorder="1" applyAlignment="1">
      <alignment wrapText="1"/>
    </xf>
    <xf numFmtId="2" fontId="27" fillId="0" borderId="3" xfId="0" applyNumberFormat="1" applyFont="1" applyBorder="1" applyAlignment="1">
      <alignment horizontal="center" vertical="center" wrapText="1"/>
    </xf>
    <xf numFmtId="2" fontId="27" fillId="0" borderId="10" xfId="0" applyNumberFormat="1" applyFont="1" applyBorder="1" applyAlignment="1">
      <alignment horizontal="center" vertical="center" wrapText="1"/>
    </xf>
    <xf numFmtId="2" fontId="27" fillId="0" borderId="4" xfId="0" applyNumberFormat="1" applyFont="1" applyBorder="1" applyAlignment="1">
      <alignment horizontal="center" vertical="center" wrapText="1"/>
    </xf>
    <xf numFmtId="0" fontId="34" fillId="0" borderId="0" xfId="0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33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2" fontId="21" fillId="0" borderId="1" xfId="0" applyNumberFormat="1" applyFont="1" applyBorder="1"/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2" fontId="39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96"/>
  <sheetViews>
    <sheetView tabSelected="1" view="pageBreakPreview" zoomScale="80" zoomScaleNormal="80" zoomScaleSheetLayoutView="80" workbookViewId="0">
      <selection activeCell="B61" sqref="B61"/>
    </sheetView>
  </sheetViews>
  <sheetFormatPr defaultRowHeight="15" x14ac:dyDescent="0.25"/>
  <cols>
    <col min="1" max="1" width="4" customWidth="1"/>
    <col min="2" max="2" width="59.42578125" customWidth="1"/>
    <col min="3" max="3" width="17.28515625" customWidth="1"/>
    <col min="4" max="4" width="17.42578125" customWidth="1"/>
    <col min="5" max="5" width="17" customWidth="1"/>
    <col min="6" max="6" width="16.5703125" customWidth="1"/>
    <col min="7" max="7" width="15.28515625" customWidth="1"/>
    <col min="8" max="8" width="15" hidden="1" customWidth="1"/>
    <col min="9" max="9" width="0" hidden="1" customWidth="1"/>
  </cols>
  <sheetData>
    <row r="1" spans="1:8" s="9" customFormat="1" ht="18.75" x14ac:dyDescent="0.3">
      <c r="A1" s="8"/>
      <c r="E1" s="10" t="s">
        <v>47</v>
      </c>
      <c r="F1" s="83"/>
      <c r="G1" s="83"/>
    </row>
    <row r="2" spans="1:8" s="9" customFormat="1" ht="15.75" x14ac:dyDescent="0.25">
      <c r="A2" s="102" t="s">
        <v>1</v>
      </c>
      <c r="B2" s="102"/>
      <c r="C2" s="102"/>
      <c r="D2" s="102"/>
      <c r="E2" s="98"/>
      <c r="F2" s="72"/>
      <c r="G2" s="98"/>
    </row>
    <row r="3" spans="1:8" s="9" customFormat="1" ht="15.75" x14ac:dyDescent="0.25">
      <c r="A3" s="102" t="s">
        <v>43</v>
      </c>
      <c r="B3" s="102"/>
      <c r="C3" s="102"/>
      <c r="D3" s="102"/>
      <c r="E3" s="98"/>
      <c r="F3" s="72"/>
      <c r="G3" s="98"/>
    </row>
    <row r="4" spans="1:8" s="8" customFormat="1" ht="18.75" x14ac:dyDescent="0.3">
      <c r="A4" s="102" t="s">
        <v>45</v>
      </c>
      <c r="B4" s="102"/>
      <c r="C4" s="102"/>
      <c r="D4" s="102"/>
      <c r="E4" s="98"/>
      <c r="F4" s="72"/>
      <c r="G4" s="98"/>
    </row>
    <row r="5" spans="1:8" s="8" customFormat="1" ht="18.75" x14ac:dyDescent="0.3">
      <c r="A5" s="104" t="s">
        <v>52</v>
      </c>
      <c r="B5" s="104"/>
      <c r="C5" s="104"/>
      <c r="D5" s="104"/>
      <c r="E5" s="98"/>
      <c r="F5" s="82"/>
      <c r="G5" s="99"/>
    </row>
    <row r="6" spans="1:8" ht="15.75" thickBot="1" x14ac:dyDescent="0.3">
      <c r="A6" s="33"/>
      <c r="C6" s="24" t="s">
        <v>54</v>
      </c>
      <c r="D6" s="76">
        <v>86980</v>
      </c>
      <c r="E6" s="11"/>
      <c r="F6" s="11"/>
      <c r="G6" s="11"/>
    </row>
    <row r="7" spans="1:8" ht="60" thickTop="1" thickBot="1" x14ac:dyDescent="0.3">
      <c r="A7" s="36" t="s">
        <v>44</v>
      </c>
      <c r="B7" s="36" t="s">
        <v>2</v>
      </c>
      <c r="C7" s="37" t="s">
        <v>3</v>
      </c>
      <c r="D7" s="85" t="s">
        <v>57</v>
      </c>
      <c r="E7" s="86" t="s">
        <v>56</v>
      </c>
      <c r="F7" s="88" t="s">
        <v>62</v>
      </c>
      <c r="G7" s="88" t="s">
        <v>55</v>
      </c>
      <c r="H7" s="87" t="s">
        <v>51</v>
      </c>
    </row>
    <row r="8" spans="1:8" ht="45" thickTop="1" thickBot="1" x14ac:dyDescent="0.3">
      <c r="A8" s="34" t="s">
        <v>4</v>
      </c>
      <c r="B8" s="35" t="s">
        <v>5</v>
      </c>
      <c r="C8" s="39">
        <f>C9+C10+C11+C12</f>
        <v>107235.2340776145</v>
      </c>
      <c r="D8" s="58">
        <f>D9+D10+D11+D12</f>
        <v>1.2328723163671478</v>
      </c>
      <c r="E8" s="58">
        <f t="shared" ref="E8:E33" si="0">D8</f>
        <v>1.2328723163671478</v>
      </c>
      <c r="F8" s="58">
        <f t="shared" ref="F8:F33" si="1">D8</f>
        <v>1.2328723163671478</v>
      </c>
      <c r="G8" s="58">
        <f t="shared" ref="G8:G32" si="2">D8</f>
        <v>1.2328723163671478</v>
      </c>
      <c r="H8" s="74">
        <v>4.4999999999999998E-2</v>
      </c>
    </row>
    <row r="9" spans="1:8" ht="30.75" thickBot="1" x14ac:dyDescent="0.3">
      <c r="A9" s="12"/>
      <c r="B9" s="14" t="s">
        <v>6</v>
      </c>
      <c r="C9" s="40">
        <f>70258.61*H9</f>
        <v>78559.6647715</v>
      </c>
      <c r="D9" s="40">
        <f>C9/86980</f>
        <v>0.90319228295585197</v>
      </c>
      <c r="E9" s="40">
        <f t="shared" si="0"/>
        <v>0.90319228295585197</v>
      </c>
      <c r="F9" s="40">
        <f t="shared" si="1"/>
        <v>0.90319228295585197</v>
      </c>
      <c r="G9" s="40">
        <f t="shared" si="2"/>
        <v>0.90319228295585197</v>
      </c>
      <c r="H9" s="61">
        <f>(107/100)*(104.5/100)</f>
        <v>1.11815</v>
      </c>
    </row>
    <row r="10" spans="1:8" ht="16.5" x14ac:dyDescent="0.25">
      <c r="A10" s="12"/>
      <c r="B10" s="63" t="s">
        <v>7</v>
      </c>
      <c r="C10" s="62">
        <f>C9*20.3/100</f>
        <v>15947.6119486145</v>
      </c>
      <c r="D10" s="62">
        <f>C10/86980</f>
        <v>0.18334803344003794</v>
      </c>
      <c r="E10" s="62">
        <f t="shared" si="0"/>
        <v>0.18334803344003794</v>
      </c>
      <c r="F10" s="62">
        <f t="shared" si="1"/>
        <v>0.18334803344003794</v>
      </c>
      <c r="G10" s="62">
        <f t="shared" si="2"/>
        <v>0.18334803344003794</v>
      </c>
    </row>
    <row r="11" spans="1:8" ht="16.5" x14ac:dyDescent="0.25">
      <c r="A11" s="12"/>
      <c r="B11" s="14" t="s">
        <v>8</v>
      </c>
      <c r="C11" s="40">
        <f>9660*H9</f>
        <v>10801.329</v>
      </c>
      <c r="D11" s="40">
        <f t="shared" ref="D11:D22" si="3">C11/86980</f>
        <v>0.1241817544263049</v>
      </c>
      <c r="E11" s="40">
        <f t="shared" si="0"/>
        <v>0.1241817544263049</v>
      </c>
      <c r="F11" s="40">
        <f t="shared" si="1"/>
        <v>0.1241817544263049</v>
      </c>
      <c r="G11" s="40">
        <f t="shared" si="2"/>
        <v>0.1241817544263049</v>
      </c>
    </row>
    <row r="12" spans="1:8" ht="16.5" x14ac:dyDescent="0.25">
      <c r="A12" s="12"/>
      <c r="B12" s="14" t="s">
        <v>9</v>
      </c>
      <c r="C12" s="40">
        <f>1723.05*H9</f>
        <v>1926.6283575</v>
      </c>
      <c r="D12" s="40">
        <f t="shared" si="3"/>
        <v>2.2150245544952863E-2</v>
      </c>
      <c r="E12" s="40">
        <f t="shared" si="0"/>
        <v>2.2150245544952863E-2</v>
      </c>
      <c r="F12" s="40">
        <f t="shared" si="1"/>
        <v>2.2150245544952863E-2</v>
      </c>
      <c r="G12" s="40">
        <f t="shared" si="2"/>
        <v>2.2150245544952863E-2</v>
      </c>
    </row>
    <row r="13" spans="1:8" ht="29.25" x14ac:dyDescent="0.25">
      <c r="A13" s="12" t="s">
        <v>10</v>
      </c>
      <c r="B13" s="13" t="s">
        <v>11</v>
      </c>
      <c r="C13" s="41">
        <f>17696.16*H9</f>
        <v>19786.961304</v>
      </c>
      <c r="D13" s="41">
        <f>C13/86980</f>
        <v>0.22748863306507244</v>
      </c>
      <c r="E13" s="41">
        <f t="shared" si="0"/>
        <v>0.22748863306507244</v>
      </c>
      <c r="F13" s="41">
        <f t="shared" si="1"/>
        <v>0.22748863306507244</v>
      </c>
      <c r="G13" s="41">
        <f t="shared" si="2"/>
        <v>0.22748863306507244</v>
      </c>
    </row>
    <row r="14" spans="1:8" ht="29.25" x14ac:dyDescent="0.25">
      <c r="A14" s="12" t="s">
        <v>12</v>
      </c>
      <c r="B14" s="13" t="s">
        <v>13</v>
      </c>
      <c r="C14" s="41">
        <f>C15+C16+C17+C18+C19+C20+C21</f>
        <v>250484.63128198951</v>
      </c>
      <c r="D14" s="42">
        <f>C14/86980</f>
        <v>2.8797957148998563</v>
      </c>
      <c r="E14" s="41">
        <f t="shared" si="0"/>
        <v>2.8797957148998563</v>
      </c>
      <c r="F14" s="42">
        <f t="shared" si="1"/>
        <v>2.8797957148998563</v>
      </c>
      <c r="G14" s="41">
        <f t="shared" si="2"/>
        <v>2.8797957148998563</v>
      </c>
    </row>
    <row r="15" spans="1:8" ht="30" x14ac:dyDescent="0.25">
      <c r="A15" s="12"/>
      <c r="B15" s="14" t="s">
        <v>14</v>
      </c>
      <c r="C15" s="40">
        <f>94136.11*H9</f>
        <v>105258.2913965</v>
      </c>
      <c r="D15" s="40">
        <f>C15/86980</f>
        <v>1.2101436122844333</v>
      </c>
      <c r="E15" s="40">
        <f t="shared" si="0"/>
        <v>1.2101436122844333</v>
      </c>
      <c r="F15" s="40">
        <f t="shared" si="1"/>
        <v>1.2101436122844333</v>
      </c>
      <c r="G15" s="40">
        <f t="shared" si="2"/>
        <v>1.2101436122844333</v>
      </c>
      <c r="H15" s="66"/>
    </row>
    <row r="16" spans="1:8" ht="16.5" x14ac:dyDescent="0.25">
      <c r="A16" s="12"/>
      <c r="B16" s="63" t="s">
        <v>7</v>
      </c>
      <c r="C16" s="62">
        <f>C15*20.3/100</f>
        <v>21367.433153489503</v>
      </c>
      <c r="D16" s="62">
        <f t="shared" si="3"/>
        <v>0.24565915329373997</v>
      </c>
      <c r="E16" s="62">
        <f t="shared" si="0"/>
        <v>0.24565915329373997</v>
      </c>
      <c r="F16" s="62">
        <f t="shared" si="1"/>
        <v>0.24565915329373997</v>
      </c>
      <c r="G16" s="62">
        <f t="shared" si="2"/>
        <v>0.24565915329373997</v>
      </c>
      <c r="H16" s="66"/>
    </row>
    <row r="17" spans="1:8" ht="16.5" x14ac:dyDescent="0.25">
      <c r="A17" s="12"/>
      <c r="B17" s="112" t="s">
        <v>15</v>
      </c>
      <c r="C17" s="40">
        <f>17734.5*H9</f>
        <v>19829.831174999999</v>
      </c>
      <c r="D17" s="40">
        <f t="shared" si="3"/>
        <v>0.22798150350655322</v>
      </c>
      <c r="E17" s="40">
        <f t="shared" si="0"/>
        <v>0.22798150350655322</v>
      </c>
      <c r="F17" s="40">
        <f t="shared" si="1"/>
        <v>0.22798150350655322</v>
      </c>
      <c r="G17" s="40">
        <f t="shared" si="2"/>
        <v>0.22798150350655322</v>
      </c>
      <c r="H17" s="66"/>
    </row>
    <row r="18" spans="1:8" ht="30" x14ac:dyDescent="0.25">
      <c r="A18" s="12"/>
      <c r="B18" s="113" t="s">
        <v>16</v>
      </c>
      <c r="C18" s="75">
        <f>31563.84*H9</f>
        <v>35293.107695999999</v>
      </c>
      <c r="D18" s="77">
        <f>C18/86980</f>
        <v>0.40576118298459413</v>
      </c>
      <c r="E18" s="78">
        <f t="shared" si="0"/>
        <v>0.40576118298459413</v>
      </c>
      <c r="F18" s="77">
        <f t="shared" si="1"/>
        <v>0.40576118298459413</v>
      </c>
      <c r="G18" s="78">
        <f t="shared" si="2"/>
        <v>0.40576118298459413</v>
      </c>
      <c r="H18" s="66"/>
    </row>
    <row r="19" spans="1:8" ht="30" x14ac:dyDescent="0.25">
      <c r="A19" s="12"/>
      <c r="B19" s="14" t="s">
        <v>17</v>
      </c>
      <c r="C19" s="40">
        <f>22450.55*H9</f>
        <v>25103.082482499998</v>
      </c>
      <c r="D19" s="40">
        <f>C19/86980</f>
        <v>0.28860752451713034</v>
      </c>
      <c r="E19" s="40">
        <f t="shared" si="0"/>
        <v>0.28860752451713034</v>
      </c>
      <c r="F19" s="40">
        <f t="shared" si="1"/>
        <v>0.28860752451713034</v>
      </c>
      <c r="G19" s="40">
        <f t="shared" si="2"/>
        <v>0.28860752451713034</v>
      </c>
      <c r="H19" s="66"/>
    </row>
    <row r="20" spans="1:8" ht="16.5" x14ac:dyDescent="0.25">
      <c r="A20" s="12"/>
      <c r="B20" s="14" t="s">
        <v>18</v>
      </c>
      <c r="C20" s="40">
        <f>31740.29*H9</f>
        <v>35490.405263499997</v>
      </c>
      <c r="D20" s="40">
        <f t="shared" si="3"/>
        <v>0.40802949256725679</v>
      </c>
      <c r="E20" s="40">
        <f t="shared" si="0"/>
        <v>0.40802949256725679</v>
      </c>
      <c r="F20" s="40">
        <f t="shared" si="1"/>
        <v>0.40802949256725679</v>
      </c>
      <c r="G20" s="40">
        <f t="shared" si="2"/>
        <v>0.40802949256725679</v>
      </c>
      <c r="H20" s="66"/>
    </row>
    <row r="21" spans="1:8" ht="16.5" x14ac:dyDescent="0.25">
      <c r="A21" s="12"/>
      <c r="B21" s="14" t="s">
        <v>19</v>
      </c>
      <c r="C21" s="40">
        <f>7282.1*H9</f>
        <v>8142.4801150000003</v>
      </c>
      <c r="D21" s="40">
        <f>C21/86980</f>
        <v>9.3613245746148543E-2</v>
      </c>
      <c r="E21" s="40">
        <f t="shared" si="0"/>
        <v>9.3613245746148543E-2</v>
      </c>
      <c r="F21" s="40">
        <f t="shared" si="1"/>
        <v>9.3613245746148543E-2</v>
      </c>
      <c r="G21" s="40">
        <f t="shared" si="2"/>
        <v>9.3613245746148543E-2</v>
      </c>
      <c r="H21" s="66"/>
    </row>
    <row r="22" spans="1:8" ht="29.25" x14ac:dyDescent="0.25">
      <c r="A22" s="15" t="s">
        <v>20</v>
      </c>
      <c r="B22" s="13" t="s">
        <v>21</v>
      </c>
      <c r="C22" s="41">
        <f>18780.19*H9</f>
        <v>20999.069448499999</v>
      </c>
      <c r="D22" s="41">
        <f t="shared" si="3"/>
        <v>0.24142411414693032</v>
      </c>
      <c r="E22" s="41">
        <f t="shared" si="0"/>
        <v>0.24142411414693032</v>
      </c>
      <c r="F22" s="41">
        <f t="shared" si="1"/>
        <v>0.24142411414693032</v>
      </c>
      <c r="G22" s="41">
        <f t="shared" si="2"/>
        <v>0.24142411414693032</v>
      </c>
      <c r="H22" s="66"/>
    </row>
    <row r="23" spans="1:8" ht="16.5" x14ac:dyDescent="0.25">
      <c r="A23" s="12" t="s">
        <v>22</v>
      </c>
      <c r="B23" s="13" t="s">
        <v>23</v>
      </c>
      <c r="C23" s="41">
        <f>C24+C25+C26+C27+C28</f>
        <v>43350.788433149995</v>
      </c>
      <c r="D23" s="41">
        <f>C23/86980</f>
        <v>0.49839949911646353</v>
      </c>
      <c r="E23" s="41">
        <f t="shared" si="0"/>
        <v>0.49839949911646353</v>
      </c>
      <c r="F23" s="41">
        <f t="shared" si="1"/>
        <v>0.49839949911646353</v>
      </c>
      <c r="G23" s="41">
        <f t="shared" si="2"/>
        <v>0.49839949911646353</v>
      </c>
      <c r="H23" s="66"/>
    </row>
    <row r="24" spans="1:8" ht="16.5" x14ac:dyDescent="0.25">
      <c r="A24" s="12"/>
      <c r="B24" s="14" t="s">
        <v>24</v>
      </c>
      <c r="C24" s="43">
        <f>24067*H9</f>
        <v>26910.516049999998</v>
      </c>
      <c r="D24" s="40">
        <f>C24/86980</f>
        <v>0.30938739997700621</v>
      </c>
      <c r="E24" s="40">
        <f t="shared" si="0"/>
        <v>0.30938739997700621</v>
      </c>
      <c r="F24" s="40">
        <f t="shared" si="1"/>
        <v>0.30938739997700621</v>
      </c>
      <c r="G24" s="40">
        <f t="shared" si="2"/>
        <v>0.30938739997700621</v>
      </c>
      <c r="H24" s="66"/>
    </row>
    <row r="25" spans="1:8" ht="16.5" x14ac:dyDescent="0.25">
      <c r="A25" s="12"/>
      <c r="B25" s="63" t="s">
        <v>7</v>
      </c>
      <c r="C25" s="62">
        <f>C24*20.3/100</f>
        <v>5462.8347581500002</v>
      </c>
      <c r="D25" s="62">
        <f t="shared" ref="D25:D28" si="4">C25/86980</f>
        <v>6.2805642195332259E-2</v>
      </c>
      <c r="E25" s="62">
        <f t="shared" si="0"/>
        <v>6.2805642195332259E-2</v>
      </c>
      <c r="F25" s="62">
        <f t="shared" si="1"/>
        <v>6.2805642195332259E-2</v>
      </c>
      <c r="G25" s="62">
        <f t="shared" si="2"/>
        <v>6.2805642195332259E-2</v>
      </c>
      <c r="H25" s="66"/>
    </row>
    <row r="26" spans="1:8" ht="16.5" x14ac:dyDescent="0.25">
      <c r="A26" s="12"/>
      <c r="B26" s="14" t="s">
        <v>25</v>
      </c>
      <c r="C26" s="40">
        <f>1575*H9</f>
        <v>1761.0862500000001</v>
      </c>
      <c r="D26" s="40">
        <f t="shared" si="4"/>
        <v>2.0247025178201886E-2</v>
      </c>
      <c r="E26" s="40">
        <f t="shared" si="0"/>
        <v>2.0247025178201886E-2</v>
      </c>
      <c r="F26" s="40">
        <f t="shared" si="1"/>
        <v>2.0247025178201886E-2</v>
      </c>
      <c r="G26" s="40">
        <f t="shared" si="2"/>
        <v>2.0247025178201886E-2</v>
      </c>
      <c r="H26" s="66"/>
    </row>
    <row r="27" spans="1:8" ht="16.5" x14ac:dyDescent="0.25">
      <c r="A27" s="12"/>
      <c r="B27" s="14" t="s">
        <v>26</v>
      </c>
      <c r="C27" s="40">
        <f>5460*H9</f>
        <v>6105.0990000000002</v>
      </c>
      <c r="D27" s="40">
        <f t="shared" si="4"/>
        <v>7.01896872844332E-2</v>
      </c>
      <c r="E27" s="40">
        <f t="shared" si="0"/>
        <v>7.01896872844332E-2</v>
      </c>
      <c r="F27" s="40">
        <f t="shared" si="1"/>
        <v>7.01896872844332E-2</v>
      </c>
      <c r="G27" s="40">
        <f t="shared" si="2"/>
        <v>7.01896872844332E-2</v>
      </c>
      <c r="H27" s="66"/>
    </row>
    <row r="28" spans="1:8" ht="16.5" x14ac:dyDescent="0.25">
      <c r="A28" s="12"/>
      <c r="B28" s="14" t="s">
        <v>27</v>
      </c>
      <c r="C28" s="40">
        <f>2782.5*H9</f>
        <v>3111.252375</v>
      </c>
      <c r="D28" s="40">
        <f t="shared" si="4"/>
        <v>3.576974448149E-2</v>
      </c>
      <c r="E28" s="40">
        <f t="shared" si="0"/>
        <v>3.576974448149E-2</v>
      </c>
      <c r="F28" s="40">
        <f t="shared" si="1"/>
        <v>3.576974448149E-2</v>
      </c>
      <c r="G28" s="40">
        <f t="shared" si="2"/>
        <v>3.576974448149E-2</v>
      </c>
    </row>
    <row r="29" spans="1:8" ht="16.5" x14ac:dyDescent="0.25">
      <c r="A29" s="12" t="s">
        <v>28</v>
      </c>
      <c r="B29" s="13" t="s">
        <v>29</v>
      </c>
      <c r="C29" s="41">
        <f>C30</f>
        <v>6195.0318045000004</v>
      </c>
      <c r="D29" s="41">
        <f>D30</f>
        <v>7.1223635370200045E-2</v>
      </c>
      <c r="E29" s="41">
        <f t="shared" si="0"/>
        <v>7.1223635370200045E-2</v>
      </c>
      <c r="F29" s="41">
        <f t="shared" si="1"/>
        <v>7.1223635370200045E-2</v>
      </c>
      <c r="G29" s="41">
        <f t="shared" si="2"/>
        <v>7.1223635370200045E-2</v>
      </c>
    </row>
    <row r="30" spans="1:8" ht="16.5" x14ac:dyDescent="0.25">
      <c r="A30" s="16"/>
      <c r="B30" s="14" t="s">
        <v>30</v>
      </c>
      <c r="C30" s="40">
        <f>5540.43*H9</f>
        <v>6195.0318045000004</v>
      </c>
      <c r="D30" s="40">
        <f>C30/86980</f>
        <v>7.1223635370200045E-2</v>
      </c>
      <c r="E30" s="40">
        <f t="shared" si="0"/>
        <v>7.1223635370200045E-2</v>
      </c>
      <c r="F30" s="40">
        <f t="shared" si="1"/>
        <v>7.1223635370200045E-2</v>
      </c>
      <c r="G30" s="40">
        <f t="shared" si="2"/>
        <v>7.1223635370200045E-2</v>
      </c>
    </row>
    <row r="31" spans="1:8" ht="16.5" x14ac:dyDescent="0.25">
      <c r="A31" s="16"/>
      <c r="B31" s="13" t="s">
        <v>0</v>
      </c>
      <c r="C31" s="41">
        <f>C8+C13+C14+C23+C22+C29</f>
        <v>448051.71634975396</v>
      </c>
      <c r="D31" s="41">
        <f>C31/86980</f>
        <v>5.1512039129656699</v>
      </c>
      <c r="E31" s="41">
        <f t="shared" si="0"/>
        <v>5.1512039129656699</v>
      </c>
      <c r="F31" s="41">
        <f t="shared" si="1"/>
        <v>5.1512039129656699</v>
      </c>
      <c r="G31" s="41">
        <f t="shared" si="2"/>
        <v>5.1512039129656699</v>
      </c>
    </row>
    <row r="32" spans="1:8" ht="17.25" thickBot="1" x14ac:dyDescent="0.3">
      <c r="A32" s="53" t="s">
        <v>31</v>
      </c>
      <c r="B32" s="54" t="s">
        <v>32</v>
      </c>
      <c r="C32" s="50">
        <f>C31*5/100</f>
        <v>22402.585817487696</v>
      </c>
      <c r="D32" s="51">
        <f>C32/86980</f>
        <v>0.25756019564828347</v>
      </c>
      <c r="E32" s="51">
        <f t="shared" si="0"/>
        <v>0.25756019564828347</v>
      </c>
      <c r="F32" s="51">
        <f t="shared" si="1"/>
        <v>0.25756019564828347</v>
      </c>
      <c r="G32" s="51">
        <f t="shared" si="2"/>
        <v>0.25756019564828347</v>
      </c>
    </row>
    <row r="33" spans="1:8" ht="18" thickTop="1" x14ac:dyDescent="0.25">
      <c r="A33" s="52"/>
      <c r="B33" s="46" t="s">
        <v>33</v>
      </c>
      <c r="C33" s="64">
        <f>C31+C32</f>
        <v>470454.30216724164</v>
      </c>
      <c r="D33" s="47">
        <f>D31+D32</f>
        <v>5.4087641086139531</v>
      </c>
      <c r="E33" s="47">
        <f t="shared" si="0"/>
        <v>5.4087641086139531</v>
      </c>
      <c r="F33" s="47">
        <f t="shared" si="1"/>
        <v>5.4087641086139531</v>
      </c>
      <c r="G33" s="47">
        <f>G31+G32</f>
        <v>5.4087641086139531</v>
      </c>
      <c r="H33">
        <f>1.23+0.23+2.88+0.24+0.5+0.07+0.26</f>
        <v>5.41</v>
      </c>
    </row>
    <row r="34" spans="1:8" ht="18.75" x14ac:dyDescent="0.3">
      <c r="A34" s="8"/>
      <c r="B34" s="8"/>
      <c r="C34" s="8"/>
      <c r="D34" s="10"/>
      <c r="E34" s="10"/>
      <c r="F34" s="10"/>
      <c r="G34" s="10"/>
    </row>
    <row r="35" spans="1:8" ht="15.75" x14ac:dyDescent="0.25">
      <c r="A35" s="102" t="s">
        <v>1</v>
      </c>
      <c r="B35" s="102"/>
      <c r="C35" s="102"/>
      <c r="D35" s="102"/>
      <c r="E35" s="98"/>
      <c r="F35" s="72"/>
      <c r="G35" s="98"/>
    </row>
    <row r="36" spans="1:8" ht="15.75" x14ac:dyDescent="0.25">
      <c r="A36" s="102" t="s">
        <v>42</v>
      </c>
      <c r="B36" s="102"/>
      <c r="C36" s="102"/>
      <c r="D36" s="102"/>
      <c r="E36" s="98"/>
      <c r="F36" s="72"/>
      <c r="G36" s="98"/>
    </row>
    <row r="37" spans="1:8" ht="15.75" x14ac:dyDescent="0.25">
      <c r="A37" s="102" t="s">
        <v>45</v>
      </c>
      <c r="B37" s="102"/>
      <c r="C37" s="102"/>
      <c r="D37" s="102"/>
      <c r="E37" s="98"/>
      <c r="F37" s="72"/>
      <c r="G37" s="98"/>
    </row>
    <row r="38" spans="1:8" ht="16.5" thickBot="1" x14ac:dyDescent="0.3">
      <c r="A38" s="23"/>
      <c r="B38" s="23"/>
      <c r="C38" s="24" t="s">
        <v>48</v>
      </c>
      <c r="D38" s="76">
        <v>86980</v>
      </c>
      <c r="E38" s="70"/>
      <c r="F38" s="25"/>
      <c r="G38" s="25"/>
    </row>
    <row r="39" spans="1:8" ht="60" thickTop="1" thickBot="1" x14ac:dyDescent="0.3">
      <c r="A39" s="28" t="s">
        <v>44</v>
      </c>
      <c r="B39" s="28" t="s">
        <v>2</v>
      </c>
      <c r="C39" s="29" t="s">
        <v>3</v>
      </c>
      <c r="D39" s="85" t="s">
        <v>57</v>
      </c>
      <c r="E39" s="86" t="s">
        <v>56</v>
      </c>
      <c r="F39" s="88" t="s">
        <v>62</v>
      </c>
      <c r="G39" s="88" t="s">
        <v>55</v>
      </c>
    </row>
    <row r="40" spans="1:8" ht="32.25" thickTop="1" x14ac:dyDescent="0.25">
      <c r="A40" s="26" t="s">
        <v>4</v>
      </c>
      <c r="B40" s="27" t="s">
        <v>34</v>
      </c>
      <c r="C40" s="39">
        <f>C41+C42+C43+C44+C45</f>
        <v>193050.24036425049</v>
      </c>
      <c r="D40" s="39">
        <f>D41+D42+D43+D44+D45</f>
        <v>2.2194785049925323</v>
      </c>
      <c r="E40" s="39">
        <f t="shared" ref="E40:E68" si="5">D40</f>
        <v>2.2194785049925323</v>
      </c>
      <c r="F40" s="39">
        <f t="shared" ref="F40:F52" si="6">G40</f>
        <v>2.2194785049925323</v>
      </c>
      <c r="G40" s="39">
        <f t="shared" ref="G40:G51" si="7">D40</f>
        <v>2.2194785049925323</v>
      </c>
    </row>
    <row r="41" spans="1:8" ht="16.5" x14ac:dyDescent="0.25">
      <c r="A41" s="1"/>
      <c r="B41" s="3" t="s">
        <v>35</v>
      </c>
      <c r="C41" s="40">
        <f>87077.09*H9</f>
        <v>97365.248183499993</v>
      </c>
      <c r="D41" s="40">
        <f t="shared" ref="D41:D63" si="8">C41/86980</f>
        <v>1.1193981166187628</v>
      </c>
      <c r="E41" s="40">
        <f t="shared" si="5"/>
        <v>1.1193981166187628</v>
      </c>
      <c r="F41" s="40">
        <f t="shared" si="6"/>
        <v>1.1193981166187628</v>
      </c>
      <c r="G41" s="40">
        <f t="shared" si="7"/>
        <v>1.1193981166187628</v>
      </c>
    </row>
    <row r="42" spans="1:8" ht="16.5" x14ac:dyDescent="0.25">
      <c r="A42" s="1"/>
      <c r="B42" s="65" t="s">
        <v>36</v>
      </c>
      <c r="C42" s="62">
        <f>C41*20.3/100</f>
        <v>19765.145381250499</v>
      </c>
      <c r="D42" s="62">
        <f t="shared" si="8"/>
        <v>0.22723781767360887</v>
      </c>
      <c r="E42" s="62">
        <f t="shared" si="5"/>
        <v>0.22723781767360887</v>
      </c>
      <c r="F42" s="62">
        <f t="shared" si="6"/>
        <v>0.22723781767360887</v>
      </c>
      <c r="G42" s="62">
        <f t="shared" si="7"/>
        <v>0.22723781767360887</v>
      </c>
    </row>
    <row r="43" spans="1:8" ht="16.5" x14ac:dyDescent="0.25">
      <c r="A43" s="1"/>
      <c r="B43" s="3" t="s">
        <v>8</v>
      </c>
      <c r="C43" s="40">
        <f>54637.49*H9</f>
        <v>61092.909443499993</v>
      </c>
      <c r="D43" s="40">
        <f t="shared" si="8"/>
        <v>0.70237881631984356</v>
      </c>
      <c r="E43" s="40">
        <f t="shared" si="5"/>
        <v>0.70237881631984356</v>
      </c>
      <c r="F43" s="40">
        <f t="shared" si="6"/>
        <v>0.70237881631984356</v>
      </c>
      <c r="G43" s="40">
        <f t="shared" si="7"/>
        <v>0.70237881631984356</v>
      </c>
    </row>
    <row r="44" spans="1:8" ht="16.5" x14ac:dyDescent="0.25">
      <c r="A44" s="1"/>
      <c r="B44" s="3" t="s">
        <v>37</v>
      </c>
      <c r="C44" s="40">
        <f>10425.24*H9</f>
        <v>11656.982105999999</v>
      </c>
      <c r="D44" s="40">
        <f>C44/86980</f>
        <v>0.13401910905955391</v>
      </c>
      <c r="E44" s="40">
        <f t="shared" si="5"/>
        <v>0.13401910905955391</v>
      </c>
      <c r="F44" s="40">
        <f t="shared" si="6"/>
        <v>0.13401910905955391</v>
      </c>
      <c r="G44" s="40">
        <f t="shared" si="7"/>
        <v>0.13401910905955391</v>
      </c>
    </row>
    <row r="45" spans="1:8" ht="16.5" x14ac:dyDescent="0.25">
      <c r="A45" s="1"/>
      <c r="B45" s="3" t="s">
        <v>27</v>
      </c>
      <c r="C45" s="40">
        <f>2835*H9</f>
        <v>3169.95525</v>
      </c>
      <c r="D45" s="40">
        <f t="shared" si="8"/>
        <v>3.6444645320763393E-2</v>
      </c>
      <c r="E45" s="40">
        <f t="shared" si="5"/>
        <v>3.6444645320763393E-2</v>
      </c>
      <c r="F45" s="40">
        <f t="shared" si="6"/>
        <v>3.6444645320763393E-2</v>
      </c>
      <c r="G45" s="40">
        <f t="shared" si="7"/>
        <v>3.6444645320763393E-2</v>
      </c>
    </row>
    <row r="46" spans="1:8" ht="31.5" x14ac:dyDescent="0.25">
      <c r="A46" s="1" t="s">
        <v>10</v>
      </c>
      <c r="B46" s="2" t="s">
        <v>38</v>
      </c>
      <c r="C46" s="41">
        <f>16297.33*H9</f>
        <v>18222.859539500001</v>
      </c>
      <c r="D46" s="41">
        <f t="shared" si="8"/>
        <v>0.20950631799839045</v>
      </c>
      <c r="E46" s="41">
        <f t="shared" si="5"/>
        <v>0.20950631799839045</v>
      </c>
      <c r="F46" s="41">
        <f t="shared" si="6"/>
        <v>0.20950631799839045</v>
      </c>
      <c r="G46" s="41">
        <f t="shared" si="7"/>
        <v>0.20950631799839045</v>
      </c>
    </row>
    <row r="47" spans="1:8" ht="47.25" x14ac:dyDescent="0.25">
      <c r="A47" s="1" t="s">
        <v>12</v>
      </c>
      <c r="B47" s="2" t="s">
        <v>39</v>
      </c>
      <c r="C47" s="41">
        <f>C48+C49+C50+C51</f>
        <v>110539.46306361748</v>
      </c>
      <c r="D47" s="41">
        <f t="shared" ref="D47:D54" si="9">C47/86980</f>
        <v>1.270860692844533</v>
      </c>
      <c r="E47" s="41">
        <f t="shared" si="5"/>
        <v>1.270860692844533</v>
      </c>
      <c r="F47" s="41">
        <f t="shared" si="6"/>
        <v>1.270860692844533</v>
      </c>
      <c r="G47" s="41">
        <f t="shared" si="7"/>
        <v>1.270860692844533</v>
      </c>
    </row>
    <row r="48" spans="1:8" ht="16.5" x14ac:dyDescent="0.25">
      <c r="A48" s="1"/>
      <c r="B48" s="3" t="s">
        <v>35</v>
      </c>
      <c r="C48" s="40">
        <f>66421.15*H9</f>
        <v>74268.808872499998</v>
      </c>
      <c r="D48" s="40">
        <f t="shared" si="9"/>
        <v>0.85386075962865027</v>
      </c>
      <c r="E48" s="40">
        <f t="shared" si="5"/>
        <v>0.85386075962865027</v>
      </c>
      <c r="F48" s="40">
        <f t="shared" si="6"/>
        <v>0.85386075962865027</v>
      </c>
      <c r="G48" s="40">
        <f t="shared" si="7"/>
        <v>0.85386075962865027</v>
      </c>
    </row>
    <row r="49" spans="1:8" ht="16.5" x14ac:dyDescent="0.25">
      <c r="A49" s="1"/>
      <c r="B49" s="65" t="s">
        <v>7</v>
      </c>
      <c r="C49" s="62">
        <f>C48*20.3/100</f>
        <v>15076.568201117499</v>
      </c>
      <c r="D49" s="62">
        <f t="shared" si="9"/>
        <v>0.17333373420461601</v>
      </c>
      <c r="E49" s="62">
        <f t="shared" si="5"/>
        <v>0.17333373420461601</v>
      </c>
      <c r="F49" s="62">
        <f t="shared" si="6"/>
        <v>0.17333373420461601</v>
      </c>
      <c r="G49" s="62">
        <f t="shared" si="7"/>
        <v>0.17333373420461601</v>
      </c>
    </row>
    <row r="50" spans="1:8" ht="16.5" x14ac:dyDescent="0.25">
      <c r="A50" s="1"/>
      <c r="B50" s="3" t="s">
        <v>8</v>
      </c>
      <c r="C50" s="40">
        <f>16833.6*H9</f>
        <v>18822.489839999998</v>
      </c>
      <c r="D50" s="40">
        <f t="shared" si="9"/>
        <v>0.21640020510462174</v>
      </c>
      <c r="E50" s="40">
        <f t="shared" si="5"/>
        <v>0.21640020510462174</v>
      </c>
      <c r="F50" s="40">
        <f t="shared" si="6"/>
        <v>0.21640020510462174</v>
      </c>
      <c r="G50" s="40">
        <f t="shared" si="7"/>
        <v>0.21640020510462174</v>
      </c>
    </row>
    <row r="51" spans="1:8" ht="16.5" x14ac:dyDescent="0.25">
      <c r="A51" s="1"/>
      <c r="B51" s="3" t="s">
        <v>9</v>
      </c>
      <c r="C51" s="40">
        <f>2121*H9</f>
        <v>2371.5961499999999</v>
      </c>
      <c r="D51" s="40">
        <f t="shared" si="9"/>
        <v>2.7265993906645206E-2</v>
      </c>
      <c r="E51" s="40">
        <f t="shared" si="5"/>
        <v>2.7265993906645206E-2</v>
      </c>
      <c r="F51" s="40">
        <f t="shared" si="6"/>
        <v>2.7265993906645206E-2</v>
      </c>
      <c r="G51" s="40">
        <f t="shared" si="7"/>
        <v>2.7265993906645206E-2</v>
      </c>
    </row>
    <row r="52" spans="1:8" ht="31.5" x14ac:dyDescent="0.25">
      <c r="A52" s="1" t="s">
        <v>20</v>
      </c>
      <c r="B52" s="2" t="s">
        <v>68</v>
      </c>
      <c r="C52" s="41">
        <f>C53+C54+C55+C56+C57</f>
        <v>199511.46699724899</v>
      </c>
      <c r="D52" s="41">
        <f t="shared" si="9"/>
        <v>2.2937625545786271</v>
      </c>
      <c r="E52" s="79">
        <f t="shared" si="5"/>
        <v>2.2937625545786271</v>
      </c>
      <c r="F52" s="41">
        <f t="shared" si="6"/>
        <v>0</v>
      </c>
      <c r="G52" s="41">
        <v>0</v>
      </c>
      <c r="H52" s="71"/>
    </row>
    <row r="53" spans="1:8" ht="16.5" customHeight="1" x14ac:dyDescent="0.25">
      <c r="A53" s="1"/>
      <c r="B53" s="3" t="s">
        <v>35</v>
      </c>
      <c r="C53" s="40">
        <f>74190.82*H9</f>
        <v>82956.465383000002</v>
      </c>
      <c r="D53" s="40">
        <f t="shared" si="9"/>
        <v>0.95374184160726605</v>
      </c>
      <c r="E53" s="80">
        <f t="shared" si="5"/>
        <v>0.95374184160726605</v>
      </c>
      <c r="F53" s="108" t="s">
        <v>53</v>
      </c>
      <c r="G53" s="108" t="s">
        <v>53</v>
      </c>
      <c r="H53" s="71"/>
    </row>
    <row r="54" spans="1:8" ht="16.5" x14ac:dyDescent="0.25">
      <c r="A54" s="1"/>
      <c r="B54" s="65" t="s">
        <v>7</v>
      </c>
      <c r="C54" s="62">
        <f>C53*20.3/100</f>
        <v>16840.162472749002</v>
      </c>
      <c r="D54" s="62">
        <f t="shared" si="9"/>
        <v>0.19360959384627502</v>
      </c>
      <c r="E54" s="81">
        <f t="shared" si="5"/>
        <v>0.19360959384627502</v>
      </c>
      <c r="F54" s="109"/>
      <c r="G54" s="109"/>
      <c r="H54" s="71"/>
    </row>
    <row r="55" spans="1:8" ht="16.5" x14ac:dyDescent="0.25">
      <c r="A55" s="1"/>
      <c r="B55" s="3" t="s">
        <v>8</v>
      </c>
      <c r="C55" s="40">
        <f>43785*H9</f>
        <v>48958.197749999999</v>
      </c>
      <c r="D55" s="40">
        <f t="shared" si="8"/>
        <v>0.56286729995401241</v>
      </c>
      <c r="E55" s="80">
        <f t="shared" si="5"/>
        <v>0.56286729995401241</v>
      </c>
      <c r="F55" s="109"/>
      <c r="G55" s="109"/>
      <c r="H55" s="71"/>
    </row>
    <row r="56" spans="1:8" ht="16.5" x14ac:dyDescent="0.25">
      <c r="A56" s="1"/>
      <c r="B56" s="3" t="s">
        <v>37</v>
      </c>
      <c r="C56" s="40">
        <f>43083.41*H9</f>
        <v>48173.7148915</v>
      </c>
      <c r="D56" s="40">
        <f t="shared" si="8"/>
        <v>0.55384818224304433</v>
      </c>
      <c r="E56" s="80">
        <f t="shared" si="5"/>
        <v>0.55384818224304433</v>
      </c>
      <c r="F56" s="109"/>
      <c r="G56" s="109"/>
      <c r="H56" s="71"/>
    </row>
    <row r="57" spans="1:8" ht="16.5" x14ac:dyDescent="0.25">
      <c r="A57" s="1"/>
      <c r="B57" s="3" t="s">
        <v>27</v>
      </c>
      <c r="C57" s="40">
        <f>2310*H9</f>
        <v>2582.9265</v>
      </c>
      <c r="D57" s="40">
        <f>C57/86980</f>
        <v>2.9695636928029432E-2</v>
      </c>
      <c r="E57" s="80">
        <f t="shared" si="5"/>
        <v>2.9695636928029432E-2</v>
      </c>
      <c r="F57" s="110"/>
      <c r="G57" s="110"/>
      <c r="H57" s="71"/>
    </row>
    <row r="58" spans="1:8" ht="16.5" x14ac:dyDescent="0.25">
      <c r="A58" s="114" t="s">
        <v>22</v>
      </c>
      <c r="B58" s="115" t="s">
        <v>23</v>
      </c>
      <c r="C58" s="116">
        <f>C59+C60+C61+C62+C63</f>
        <v>46530.56330999449</v>
      </c>
      <c r="D58" s="116">
        <f>C58/86980</f>
        <v>0.53495703966422725</v>
      </c>
      <c r="E58" s="116">
        <f t="shared" si="5"/>
        <v>0.53495703966422725</v>
      </c>
      <c r="F58" s="116">
        <f t="shared" ref="F58:F68" si="10">G58</f>
        <v>0.53495703966422725</v>
      </c>
      <c r="G58" s="116">
        <f t="shared" ref="G58:G65" si="11">D58</f>
        <v>0.53495703966422725</v>
      </c>
    </row>
    <row r="59" spans="1:8" ht="16.5" x14ac:dyDescent="0.25">
      <c r="A59" s="114"/>
      <c r="B59" s="117" t="s">
        <v>35</v>
      </c>
      <c r="C59" s="43">
        <f>24067.01*H9</f>
        <v>26910.527231499997</v>
      </c>
      <c r="D59" s="43">
        <f>C59/86980</f>
        <v>0.30938752852954698</v>
      </c>
      <c r="E59" s="43">
        <f t="shared" si="5"/>
        <v>0.30938752852954698</v>
      </c>
      <c r="F59" s="43">
        <f t="shared" si="10"/>
        <v>0.30938752852954698</v>
      </c>
      <c r="G59" s="43">
        <f t="shared" si="11"/>
        <v>0.30938752852954698</v>
      </c>
    </row>
    <row r="60" spans="1:8" ht="16.5" x14ac:dyDescent="0.25">
      <c r="A60" s="114"/>
      <c r="B60" s="118" t="s">
        <v>36</v>
      </c>
      <c r="C60" s="119">
        <f>C59*20.3/100</f>
        <v>5462.8370279944993</v>
      </c>
      <c r="D60" s="119">
        <f t="shared" si="8"/>
        <v>6.2805668291498043E-2</v>
      </c>
      <c r="E60" s="119">
        <f t="shared" si="5"/>
        <v>6.2805668291498043E-2</v>
      </c>
      <c r="F60" s="119">
        <f t="shared" si="10"/>
        <v>6.2805668291498043E-2</v>
      </c>
      <c r="G60" s="119">
        <f t="shared" si="11"/>
        <v>6.2805668291498043E-2</v>
      </c>
    </row>
    <row r="61" spans="1:8" ht="16.5" x14ac:dyDescent="0.25">
      <c r="A61" s="114"/>
      <c r="B61" s="117" t="s">
        <v>25</v>
      </c>
      <c r="C61" s="43">
        <f>2392.27*H9</f>
        <v>2674.9167004999999</v>
      </c>
      <c r="D61" s="43">
        <f t="shared" si="8"/>
        <v>3.0753238681306045E-2</v>
      </c>
      <c r="E61" s="43">
        <f t="shared" si="5"/>
        <v>3.0753238681306045E-2</v>
      </c>
      <c r="F61" s="43">
        <f t="shared" si="10"/>
        <v>3.0753238681306045E-2</v>
      </c>
      <c r="G61" s="43">
        <f t="shared" si="11"/>
        <v>3.0753238681306045E-2</v>
      </c>
    </row>
    <row r="62" spans="1:8" ht="16.5" x14ac:dyDescent="0.25">
      <c r="A62" s="114"/>
      <c r="B62" s="117" t="s">
        <v>26</v>
      </c>
      <c r="C62" s="43">
        <f>8169*H9</f>
        <v>9134.1673499999997</v>
      </c>
      <c r="D62" s="43">
        <f t="shared" si="8"/>
        <v>0.10501457059094044</v>
      </c>
      <c r="E62" s="43">
        <f t="shared" si="5"/>
        <v>0.10501457059094044</v>
      </c>
      <c r="F62" s="43">
        <f t="shared" si="10"/>
        <v>0.10501457059094044</v>
      </c>
      <c r="G62" s="43">
        <f t="shared" si="11"/>
        <v>0.10501457059094044</v>
      </c>
    </row>
    <row r="63" spans="1:8" ht="16.5" x14ac:dyDescent="0.25">
      <c r="A63" s="114"/>
      <c r="B63" s="117" t="s">
        <v>27</v>
      </c>
      <c r="C63" s="43">
        <f>2100*H9</f>
        <v>2348.1149999999998</v>
      </c>
      <c r="D63" s="43">
        <f t="shared" si="8"/>
        <v>2.6996033570935846E-2</v>
      </c>
      <c r="E63" s="43">
        <f t="shared" si="5"/>
        <v>2.6996033570935846E-2</v>
      </c>
      <c r="F63" s="43">
        <f t="shared" si="10"/>
        <v>2.6996033570935846E-2</v>
      </c>
      <c r="G63" s="43">
        <f t="shared" si="11"/>
        <v>2.6996033570935846E-2</v>
      </c>
    </row>
    <row r="64" spans="1:8" ht="16.5" x14ac:dyDescent="0.25">
      <c r="A64" s="114" t="s">
        <v>28</v>
      </c>
      <c r="B64" s="115" t="s">
        <v>29</v>
      </c>
      <c r="C64" s="116">
        <f>C65</f>
        <v>5705.9194500000003</v>
      </c>
      <c r="D64" s="116">
        <f>D65</f>
        <v>6.5600361577374117E-2</v>
      </c>
      <c r="E64" s="116">
        <f t="shared" si="5"/>
        <v>6.5600361577374117E-2</v>
      </c>
      <c r="F64" s="116">
        <f t="shared" si="10"/>
        <v>6.5600361577374117E-2</v>
      </c>
      <c r="G64" s="116">
        <f t="shared" si="11"/>
        <v>6.5600361577374117E-2</v>
      </c>
    </row>
    <row r="65" spans="1:9" ht="16.5" x14ac:dyDescent="0.25">
      <c r="A65" s="5"/>
      <c r="B65" s="3" t="s">
        <v>30</v>
      </c>
      <c r="C65" s="40">
        <f>5103*H9</f>
        <v>5705.9194500000003</v>
      </c>
      <c r="D65" s="40">
        <f>C65/86980</f>
        <v>6.5600361577374117E-2</v>
      </c>
      <c r="E65" s="40">
        <f t="shared" si="5"/>
        <v>6.5600361577374117E-2</v>
      </c>
      <c r="F65" s="40">
        <f t="shared" si="10"/>
        <v>6.5600361577374117E-2</v>
      </c>
      <c r="G65" s="40">
        <f t="shared" si="11"/>
        <v>6.5600361577374117E-2</v>
      </c>
    </row>
    <row r="66" spans="1:9" ht="16.5" x14ac:dyDescent="0.25">
      <c r="A66" s="5"/>
      <c r="B66" s="2" t="s">
        <v>0</v>
      </c>
      <c r="C66" s="41">
        <f>C40+C46+C47+C52+C58+C64</f>
        <v>573560.51272461156</v>
      </c>
      <c r="D66" s="41">
        <f>C66/86980</f>
        <v>6.5941654716556855</v>
      </c>
      <c r="E66" s="41">
        <f t="shared" si="5"/>
        <v>6.5941654716556855</v>
      </c>
      <c r="F66" s="41">
        <f t="shared" si="10"/>
        <v>4.300402917077057</v>
      </c>
      <c r="G66" s="41">
        <f>G40+G46+G47+G52+G58+G64</f>
        <v>4.300402917077057</v>
      </c>
    </row>
    <row r="67" spans="1:9" ht="17.25" thickBot="1" x14ac:dyDescent="0.3">
      <c r="A67" s="48" t="s">
        <v>31</v>
      </c>
      <c r="B67" s="49" t="s">
        <v>40</v>
      </c>
      <c r="C67" s="50">
        <f>(C40+C46+C47+C52+C58+C64)*5/100</f>
        <v>28678.025636230577</v>
      </c>
      <c r="D67" s="51">
        <f>C67/86980</f>
        <v>0.32970827358278426</v>
      </c>
      <c r="E67" s="51">
        <f t="shared" si="5"/>
        <v>0.32970827358278426</v>
      </c>
      <c r="F67" s="51">
        <f t="shared" si="10"/>
        <v>0.21502014585385287</v>
      </c>
      <c r="G67" s="51">
        <f>G66*5%</f>
        <v>0.21502014585385287</v>
      </c>
    </row>
    <row r="68" spans="1:9" ht="18" thickTop="1" x14ac:dyDescent="0.25">
      <c r="A68" s="45"/>
      <c r="B68" s="46" t="s">
        <v>33</v>
      </c>
      <c r="C68" s="64">
        <f>C40+C46+C47+C52+C58+C64+C67</f>
        <v>602238.53836084215</v>
      </c>
      <c r="D68" s="47">
        <f>D40+D46+D47+D52+D58+D64+D67</f>
        <v>6.9238737452384687</v>
      </c>
      <c r="E68" s="47">
        <f t="shared" si="5"/>
        <v>6.9238737452384687</v>
      </c>
      <c r="F68" s="47">
        <f t="shared" si="10"/>
        <v>4.5154230629309096</v>
      </c>
      <c r="G68" s="47">
        <f>G66+G67</f>
        <v>4.5154230629309096</v>
      </c>
    </row>
    <row r="70" spans="1:9" ht="16.5" x14ac:dyDescent="0.25">
      <c r="B70" s="73"/>
      <c r="C70" s="73"/>
      <c r="H70" s="7">
        <f>2.22+0.21+1.27+2.29+0.53+0.07+0.33</f>
        <v>6.9200000000000008</v>
      </c>
      <c r="I70" s="7">
        <f>2.22+0.21+1.27+0.53+0.07+0.22</f>
        <v>4.5200000000000005</v>
      </c>
    </row>
    <row r="71" spans="1:9" ht="15.75" x14ac:dyDescent="0.25">
      <c r="A71" s="102" t="s">
        <v>1</v>
      </c>
      <c r="B71" s="102"/>
      <c r="C71" s="102"/>
      <c r="D71" s="102"/>
      <c r="E71" s="98"/>
      <c r="F71" s="72"/>
      <c r="G71" s="98"/>
    </row>
    <row r="72" spans="1:9" ht="15.75" x14ac:dyDescent="0.25">
      <c r="A72" s="102" t="s">
        <v>41</v>
      </c>
      <c r="B72" s="102"/>
      <c r="C72" s="102"/>
      <c r="D72" s="102"/>
      <c r="E72" s="98"/>
      <c r="F72" s="72"/>
      <c r="G72" s="98"/>
    </row>
    <row r="73" spans="1:9" ht="15.75" x14ac:dyDescent="0.25">
      <c r="A73" s="102" t="s">
        <v>46</v>
      </c>
      <c r="B73" s="102"/>
      <c r="C73" s="102"/>
      <c r="D73" s="102"/>
      <c r="E73" s="98"/>
      <c r="F73" s="72"/>
      <c r="G73" s="98"/>
    </row>
    <row r="74" spans="1:9" ht="19.5" thickBot="1" x14ac:dyDescent="0.35">
      <c r="A74" s="30"/>
      <c r="B74" s="30"/>
      <c r="C74" s="24" t="s">
        <v>48</v>
      </c>
      <c r="D74" s="76">
        <v>86980</v>
      </c>
      <c r="E74" s="11"/>
      <c r="F74" s="11"/>
      <c r="G74" s="11"/>
    </row>
    <row r="75" spans="1:9" ht="60" thickTop="1" thickBot="1" x14ac:dyDescent="0.3">
      <c r="A75" s="32" t="s">
        <v>44</v>
      </c>
      <c r="B75" s="32" t="s">
        <v>2</v>
      </c>
      <c r="C75" s="38" t="s">
        <v>3</v>
      </c>
      <c r="D75" s="85" t="s">
        <v>57</v>
      </c>
      <c r="E75" s="86" t="s">
        <v>56</v>
      </c>
      <c r="F75" s="88" t="s">
        <v>62</v>
      </c>
      <c r="G75" s="88" t="s">
        <v>55</v>
      </c>
    </row>
    <row r="76" spans="1:9" ht="70.5" customHeight="1" thickTop="1" x14ac:dyDescent="0.3">
      <c r="A76" s="31" t="s">
        <v>4</v>
      </c>
      <c r="B76" s="100" t="s">
        <v>69</v>
      </c>
      <c r="C76" s="67">
        <v>14484.97</v>
      </c>
      <c r="D76" s="56">
        <f t="shared" ref="D76:D81" si="12">C76/86980</f>
        <v>0.16653219130834673</v>
      </c>
      <c r="E76" s="56">
        <f>D76</f>
        <v>0.16653219130834673</v>
      </c>
      <c r="F76" s="56">
        <f t="shared" ref="F76:F87" si="13">D76</f>
        <v>0.16653219130834673</v>
      </c>
      <c r="G76" s="56">
        <f>E76</f>
        <v>0.16653219130834673</v>
      </c>
    </row>
    <row r="77" spans="1:9" ht="83.25" x14ac:dyDescent="0.3">
      <c r="A77" s="18" t="s">
        <v>10</v>
      </c>
      <c r="B77" s="100" t="s">
        <v>70</v>
      </c>
      <c r="C77" s="22">
        <v>32591.17</v>
      </c>
      <c r="D77" s="21">
        <f t="shared" si="12"/>
        <v>0.37469728673258218</v>
      </c>
      <c r="E77" s="21">
        <f>D77</f>
        <v>0.37469728673258218</v>
      </c>
      <c r="F77" s="21">
        <f t="shared" si="13"/>
        <v>0.37469728673258218</v>
      </c>
      <c r="G77" s="21">
        <f>E77</f>
        <v>0.37469728673258218</v>
      </c>
    </row>
    <row r="78" spans="1:9" ht="126.75" customHeight="1" x14ac:dyDescent="0.3">
      <c r="A78" s="18" t="s">
        <v>12</v>
      </c>
      <c r="B78" s="100" t="s">
        <v>71</v>
      </c>
      <c r="C78" s="22">
        <v>228138.2</v>
      </c>
      <c r="D78" s="44">
        <f t="shared" si="12"/>
        <v>2.6228811220970338</v>
      </c>
      <c r="E78" s="21">
        <v>1.66</v>
      </c>
      <c r="F78" s="44">
        <f t="shared" si="13"/>
        <v>2.6228811220970338</v>
      </c>
      <c r="G78" s="21">
        <f>E78</f>
        <v>1.66</v>
      </c>
    </row>
    <row r="79" spans="1:9" ht="33.75" x14ac:dyDescent="0.3">
      <c r="A79" s="18" t="s">
        <v>20</v>
      </c>
      <c r="B79" s="100" t="s">
        <v>72</v>
      </c>
      <c r="C79" s="22">
        <v>25348.69</v>
      </c>
      <c r="D79" s="21">
        <f t="shared" si="12"/>
        <v>0.29143124856288799</v>
      </c>
      <c r="E79" s="21">
        <f>D79</f>
        <v>0.29143124856288799</v>
      </c>
      <c r="F79" s="21">
        <f t="shared" si="13"/>
        <v>0.29143124856288799</v>
      </c>
      <c r="G79" s="21">
        <f>E79</f>
        <v>0.29143124856288799</v>
      </c>
    </row>
    <row r="80" spans="1:9" ht="83.25" x14ac:dyDescent="0.3">
      <c r="A80" s="18" t="s">
        <v>22</v>
      </c>
      <c r="B80" s="100" t="s">
        <v>73</v>
      </c>
      <c r="C80" s="22">
        <v>25348.69</v>
      </c>
      <c r="D80" s="21">
        <f t="shared" si="12"/>
        <v>0.29143124856288799</v>
      </c>
      <c r="E80" s="21">
        <f>D80</f>
        <v>0.29143124856288799</v>
      </c>
      <c r="F80" s="21">
        <f t="shared" si="13"/>
        <v>0.29143124856288799</v>
      </c>
      <c r="G80" s="21">
        <f>E80</f>
        <v>0.29143124856288799</v>
      </c>
    </row>
    <row r="81" spans="1:9" ht="18.75" hidden="1" customHeight="1" x14ac:dyDescent="0.3">
      <c r="A81" s="17"/>
      <c r="B81" s="19" t="s">
        <v>61</v>
      </c>
      <c r="C81" s="68">
        <f>6393.03*H9</f>
        <v>7148.3664944999991</v>
      </c>
      <c r="D81" s="4">
        <f t="shared" si="12"/>
        <v>8.2184024999999994E-2</v>
      </c>
      <c r="E81" s="4"/>
      <c r="F81" s="4">
        <f t="shared" si="13"/>
        <v>8.2184024999999994E-2</v>
      </c>
      <c r="G81" s="4"/>
    </row>
    <row r="82" spans="1:9" ht="18.75" hidden="1" customHeight="1" x14ac:dyDescent="0.3">
      <c r="A82" s="17"/>
      <c r="B82" s="19" t="s">
        <v>58</v>
      </c>
      <c r="C82" s="68">
        <f>5479.74*H9</f>
        <v>6127.1712809999999</v>
      </c>
      <c r="D82" s="4">
        <f t="shared" ref="D82:D84" si="14">C82/86980</f>
        <v>7.0443450000000005E-2</v>
      </c>
      <c r="E82" s="21"/>
      <c r="F82" s="4">
        <f t="shared" si="13"/>
        <v>7.0443450000000005E-2</v>
      </c>
      <c r="G82" s="4"/>
    </row>
    <row r="83" spans="1:9" ht="18.75" hidden="1" customHeight="1" x14ac:dyDescent="0.3">
      <c r="A83" s="17"/>
      <c r="B83" s="19" t="s">
        <v>59</v>
      </c>
      <c r="C83" s="68">
        <f>3653.16*H9</f>
        <v>4084.7808539999996</v>
      </c>
      <c r="D83" s="4">
        <f t="shared" si="14"/>
        <v>4.6962299999999998E-2</v>
      </c>
      <c r="E83" s="21"/>
      <c r="F83" s="4">
        <f t="shared" si="13"/>
        <v>4.6962299999999998E-2</v>
      </c>
      <c r="G83" s="4"/>
    </row>
    <row r="84" spans="1:9" ht="18.75" hidden="1" customHeight="1" x14ac:dyDescent="0.3">
      <c r="A84" s="17"/>
      <c r="B84" s="19" t="s">
        <v>60</v>
      </c>
      <c r="C84" s="68">
        <f>5479.74*H9</f>
        <v>6127.1712809999999</v>
      </c>
      <c r="D84" s="4">
        <f t="shared" si="14"/>
        <v>7.0443450000000005E-2</v>
      </c>
      <c r="E84" s="21"/>
      <c r="F84" s="4">
        <f t="shared" si="13"/>
        <v>7.0443450000000005E-2</v>
      </c>
      <c r="G84" s="4"/>
    </row>
    <row r="85" spans="1:9" ht="50.25" x14ac:dyDescent="0.3">
      <c r="A85" s="18" t="s">
        <v>28</v>
      </c>
      <c r="B85" s="100" t="s">
        <v>74</v>
      </c>
      <c r="C85" s="22">
        <v>28969.93</v>
      </c>
      <c r="D85" s="21">
        <f>C85/86980</f>
        <v>0.33306426764773511</v>
      </c>
      <c r="E85" s="21">
        <f>D85</f>
        <v>0.33306426764773511</v>
      </c>
      <c r="F85" s="21">
        <f t="shared" si="13"/>
        <v>0.33306426764773511</v>
      </c>
      <c r="G85" s="21">
        <f>E85</f>
        <v>0.33306426764773511</v>
      </c>
    </row>
    <row r="86" spans="1:9" ht="72" customHeight="1" thickBot="1" x14ac:dyDescent="0.35">
      <c r="A86" s="55" t="s">
        <v>49</v>
      </c>
      <c r="B86" s="101" t="s">
        <v>75</v>
      </c>
      <c r="C86" s="69">
        <v>7242.48</v>
      </c>
      <c r="D86" s="57">
        <f>C86/86980</f>
        <v>8.3266038169694176E-2</v>
      </c>
      <c r="E86" s="57"/>
      <c r="F86" s="57">
        <f t="shared" si="13"/>
        <v>8.3266038169694176E-2</v>
      </c>
      <c r="G86" s="57"/>
    </row>
    <row r="87" spans="1:9" ht="21" thickTop="1" thickBot="1" x14ac:dyDescent="0.4">
      <c r="A87" s="59"/>
      <c r="B87" s="59" t="s">
        <v>33</v>
      </c>
      <c r="C87" s="89">
        <f>C76+C77+C78+C80+C85+C79+C86</f>
        <v>362124.13</v>
      </c>
      <c r="D87" s="60">
        <f>D76+D77+D78+D80+D85+D79+D86</f>
        <v>4.1633034030811675</v>
      </c>
      <c r="E87" s="60">
        <f>E76+E77+E78+E80+E85+E79+E86</f>
        <v>3.1171562428144393</v>
      </c>
      <c r="F87" s="60">
        <f t="shared" si="13"/>
        <v>4.1633034030811675</v>
      </c>
      <c r="G87" s="60">
        <f>G76+G77+G78+G80+G85+G79+G86</f>
        <v>3.1171562428144393</v>
      </c>
      <c r="H87">
        <f>1.1+1.85+0.49+0.21+0.26+0.2+0.05</f>
        <v>4.16</v>
      </c>
      <c r="I87">
        <f>0.73+1.42+0.49+0.21+0.07+0.2+0</f>
        <v>3.1199999999999997</v>
      </c>
    </row>
    <row r="88" spans="1:9" ht="21" thickTop="1" thickBot="1" x14ac:dyDescent="0.4">
      <c r="A88" s="90"/>
      <c r="B88" s="91"/>
      <c r="C88" s="92"/>
      <c r="D88" s="93"/>
      <c r="E88" s="93"/>
      <c r="F88" s="93"/>
      <c r="G88" s="93"/>
    </row>
    <row r="89" spans="1:9" ht="21" thickTop="1" thickBot="1" x14ac:dyDescent="0.4">
      <c r="A89" s="95" t="s">
        <v>50</v>
      </c>
      <c r="B89" s="96"/>
      <c r="C89" s="97"/>
      <c r="D89" s="60">
        <f>D33+D68+D87-0.01</f>
        <v>16.485941256933589</v>
      </c>
      <c r="E89" s="60">
        <f>E33+E68+E87</f>
        <v>15.44979409666686</v>
      </c>
      <c r="F89" s="60">
        <f>F33+F68+F87</f>
        <v>14.087490574626029</v>
      </c>
      <c r="G89" s="60">
        <f>G33+G68+G87+0.01</f>
        <v>13.0513434143593</v>
      </c>
    </row>
    <row r="90" spans="1:9" ht="20.25" thickTop="1" x14ac:dyDescent="0.35">
      <c r="A90" s="94"/>
      <c r="B90" s="94"/>
      <c r="C90" s="94"/>
      <c r="D90" s="84"/>
      <c r="E90" s="84"/>
      <c r="F90" s="84"/>
      <c r="G90" s="84"/>
    </row>
    <row r="91" spans="1:9" ht="15" customHeight="1" x14ac:dyDescent="0.25">
      <c r="A91" s="103" t="s">
        <v>63</v>
      </c>
      <c r="B91" s="103"/>
      <c r="C91" s="103"/>
      <c r="D91" s="103"/>
      <c r="E91" s="103"/>
      <c r="F91" s="103"/>
      <c r="G91" s="103"/>
      <c r="H91" s="7"/>
    </row>
    <row r="92" spans="1:9" s="20" customFormat="1" ht="18.75" customHeight="1" x14ac:dyDescent="0.3">
      <c r="A92" s="111" t="s">
        <v>65</v>
      </c>
      <c r="B92" s="111"/>
      <c r="C92" s="111"/>
      <c r="D92" s="111"/>
      <c r="E92" s="111"/>
      <c r="F92" s="111"/>
      <c r="G92" s="111"/>
    </row>
    <row r="93" spans="1:9" s="9" customFormat="1" ht="39" customHeight="1" x14ac:dyDescent="0.25">
      <c r="A93" s="107" t="s">
        <v>67</v>
      </c>
      <c r="B93" s="107"/>
      <c r="C93" s="107"/>
      <c r="D93" s="107"/>
      <c r="E93" s="107"/>
      <c r="F93" s="107"/>
      <c r="G93" s="107"/>
    </row>
    <row r="94" spans="1:9" s="9" customFormat="1" ht="19.5" customHeight="1" x14ac:dyDescent="0.25">
      <c r="A94" s="105" t="s">
        <v>64</v>
      </c>
      <c r="B94" s="105"/>
      <c r="C94" s="105"/>
      <c r="D94" s="105"/>
      <c r="E94" s="105"/>
      <c r="F94" s="105"/>
      <c r="G94" s="105"/>
    </row>
    <row r="95" spans="1:9" s="9" customFormat="1" ht="21" customHeight="1" x14ac:dyDescent="0.25">
      <c r="A95" s="106" t="s">
        <v>66</v>
      </c>
      <c r="B95" s="106"/>
      <c r="C95" s="106"/>
      <c r="D95" s="106"/>
      <c r="E95" s="106"/>
      <c r="F95" s="106"/>
      <c r="G95" s="106"/>
    </row>
    <row r="96" spans="1:9" x14ac:dyDescent="0.25">
      <c r="C96" s="6"/>
      <c r="D96" s="6"/>
      <c r="E96" s="6"/>
      <c r="F96" s="6"/>
      <c r="G96" s="6"/>
    </row>
  </sheetData>
  <sheetProtection algorithmName="SHA-512" hashValue="h23epnhjDxJlxM4+xqWv+4w+0H/4HM9PLuFeS+7/VfFPJq8prK4nTMufCCjkusTTKMj4QawvLXeKAD5gNVc9Iw==" saltValue="lUguHU5ZRMIVVioTxHjsDw==" spinCount="100000" sheet="1" objects="1" scenarios="1"/>
  <mergeCells count="17">
    <mergeCell ref="A94:G94"/>
    <mergeCell ref="A95:G95"/>
    <mergeCell ref="A93:G93"/>
    <mergeCell ref="F53:F57"/>
    <mergeCell ref="G53:G57"/>
    <mergeCell ref="A92:G92"/>
    <mergeCell ref="A2:D2"/>
    <mergeCell ref="A3:D3"/>
    <mergeCell ref="A4:D4"/>
    <mergeCell ref="A5:D5"/>
    <mergeCell ref="A36:D36"/>
    <mergeCell ref="A35:D35"/>
    <mergeCell ref="A37:D37"/>
    <mergeCell ref="A71:D71"/>
    <mergeCell ref="A72:D72"/>
    <mergeCell ref="A73:D73"/>
    <mergeCell ref="A91:G91"/>
  </mergeCells>
  <pageMargins left="0.7" right="0.7" top="0.75" bottom="0.75" header="0.3" footer="0.3"/>
  <pageSetup paperSize="9" scale="55" orientation="portrait" horizontalDpi="180" verticalDpi="180" r:id="rId1"/>
  <rowBreaks count="2" manualBreakCount="2">
    <brk id="34" max="6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Калькуляция 17-18 общая</vt:lpstr>
      <vt:lpstr>'Калькуляция 17-18 общая'!Область_печати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2018-09-17T07:30:17Z</dcterms:modified>
</cp:coreProperties>
</file>