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основной" sheetId="12" r:id="rId1"/>
  </sheets>
  <definedNames>
    <definedName name="_xlnm.Print_Area" localSheetId="0">основной!$A$1:$G$99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<sst xmlns="http://schemas.openxmlformats.org/spreadsheetml/2006/main" count="126" uniqueCount="78">
  <si>
    <t>РАЗДЕЛ 1</t>
  </si>
  <si>
    <t>Приложение №</t>
  </si>
  <si>
    <t>Утверждено:</t>
  </si>
  <si>
    <t xml:space="preserve">Приказом ООО УК "Капиталстрой" </t>
  </si>
  <si>
    <t>КАЛЬКУЛЯЦИЯ</t>
  </si>
  <si>
    <t>№_34_ от " 21 " мая   2024г</t>
  </si>
  <si>
    <r>
      <rPr>
        <b/>
        <sz val="14"/>
        <rFont val="Times New Roman"/>
        <charset val="204"/>
      </rPr>
      <t xml:space="preserve">на экономически обоснованный тариф по </t>
    </r>
    <r>
      <rPr>
        <b/>
        <u/>
        <sz val="14"/>
        <rFont val="Times New Roman"/>
        <charset val="204"/>
      </rPr>
      <t>содержанию</t>
    </r>
  </si>
  <si>
    <t xml:space="preserve"> жилья на 1 м2 общей площади в месяц</t>
  </si>
  <si>
    <t>с 01.07.2024г по 30.06.2025г</t>
  </si>
  <si>
    <t>* Общая площадь м2</t>
  </si>
  <si>
    <t>№</t>
  </si>
  <si>
    <t>Наименование статей</t>
  </si>
  <si>
    <t>Затраты в месяц на всю площадь, руб.</t>
  </si>
  <si>
    <r>
      <rPr>
        <b/>
        <sz val="11"/>
        <color indexed="8"/>
        <rFont val="Times New Roman"/>
        <charset val="204"/>
      </rPr>
      <t>Тариф для Управления        (</t>
    </r>
    <r>
      <rPr>
        <sz val="11"/>
        <color indexed="8"/>
        <rFont val="Times New Roman"/>
        <charset val="204"/>
      </rPr>
      <t>в мес. / 1 м2), руб.</t>
    </r>
  </si>
  <si>
    <r>
      <rPr>
        <b/>
        <sz val="11"/>
        <color indexed="8"/>
        <rFont val="Times New Roman"/>
        <charset val="204"/>
      </rPr>
      <t>Тариф для НСУ</t>
    </r>
    <r>
      <rPr>
        <sz val="11"/>
        <color indexed="8"/>
        <rFont val="Times New Roman"/>
        <charset val="204"/>
      </rPr>
      <t xml:space="preserve"> (в мес. / 1 м2), руб.</t>
    </r>
  </si>
  <si>
    <t>** Тариф для Управления с ОАГВ, без центр. отопления</t>
  </si>
  <si>
    <t>** Тариф для НСУ с ОАГВ, без центр. отопления</t>
  </si>
  <si>
    <t>индекс повышение с 1.07.2024</t>
  </si>
  <si>
    <t>* Повышение страховых взносов на з/пл, ушла статья не ТБО, изменила статьи благ.конт.площадок и Услуги сторонних организ и добавлена Тех.диагностирование внутридомов.газ.оборуд</t>
  </si>
  <si>
    <t>1.</t>
  </si>
  <si>
    <t>Технические осмотры и обходы жилых домов. Подготовка жилых зданий к сезонной эксплуатации. Мероприятия по пожарной безопасности.</t>
  </si>
  <si>
    <t>1. Оплата труда рабочих, выполняющих осмотры и техническое обслуживание жилых знадний</t>
  </si>
  <si>
    <t>2. Страховые взносы 30,28% (ПФ-22%, ОМС-5,1%, ФСС-2,9%, ФСС травматизм 0,28%</t>
  </si>
  <si>
    <t>3. Затраты на материалы</t>
  </si>
  <si>
    <t>4. Прочие расходы</t>
  </si>
  <si>
    <t>2.</t>
  </si>
  <si>
    <t>Техническое обслуживание внутридомовых сетей электроснабжения</t>
  </si>
  <si>
    <t>3.</t>
  </si>
  <si>
    <t>Благоустройство и обеспечение санитарного состояния жилых зданий и придомовой территориии.</t>
  </si>
  <si>
    <t>1. Оплата труда рабочих, занятых обслуживанием жилых домов и придомовой территории.</t>
  </si>
  <si>
    <t>3. Услуги сторонних организаций (осмотры вентканалов, дымоходов, дезинфекция, дезинсекция и детаризация и др)</t>
  </si>
  <si>
    <t>4. Содержание контейнерных площадок для сбора ТКО (МКЖД на Управлении)</t>
  </si>
  <si>
    <t>5. Санитарная обработка подъездов дез.растворами (МКЖД на НСУ)</t>
  </si>
  <si>
    <t>6. Транспортные расходы</t>
  </si>
  <si>
    <t>7. Прочие расходы</t>
  </si>
  <si>
    <t>4.</t>
  </si>
  <si>
    <t>Техническое обслуживание внутридомовых газовых сетей</t>
  </si>
  <si>
    <t>5.</t>
  </si>
  <si>
    <t>Общеэксплуатационные расходы</t>
  </si>
  <si>
    <t>1. Оплата труда работников</t>
  </si>
  <si>
    <t>3. Амортизационные отчисления</t>
  </si>
  <si>
    <t>4. Содержание конторских и хоз.помещений</t>
  </si>
  <si>
    <t>5. Прочие расходы</t>
  </si>
  <si>
    <t>6.</t>
  </si>
  <si>
    <t>Прочие прямые затраты</t>
  </si>
  <si>
    <t>1. Сборы и отчисления</t>
  </si>
  <si>
    <t>Итого по разделам 1-6</t>
  </si>
  <si>
    <t xml:space="preserve">7. </t>
  </si>
  <si>
    <t>Рентабельность  (5%)</t>
  </si>
  <si>
    <t>ИТОГО РАСХОДОВ</t>
  </si>
  <si>
    <t>РАЗДЕЛ 2</t>
  </si>
  <si>
    <r>
      <rPr>
        <b/>
        <sz val="14"/>
        <rFont val="Times New Roman"/>
        <charset val="204"/>
      </rPr>
      <t xml:space="preserve">на экономически обоснованный тариф по </t>
    </r>
    <r>
      <rPr>
        <b/>
        <u/>
        <sz val="14"/>
        <rFont val="Times New Roman"/>
        <charset val="204"/>
      </rPr>
      <t>текущему ремонту</t>
    </r>
  </si>
  <si>
    <t>Текущий ремонт конструктивных элементов жилых зданий</t>
  </si>
  <si>
    <t>1. Оплата труда рабочих</t>
  </si>
  <si>
    <t>4. Транспортные расходы</t>
  </si>
  <si>
    <t>Ремонт внутридомовых сетей электроснабжения, общедомовых приборов учета электрической энергии</t>
  </si>
  <si>
    <t>Ремонт внутридомового инженерного оборудования водопровдных и канализационных сетей, общедомовых приборов учета холодной воды</t>
  </si>
  <si>
    <t>**Ремонт внутридомовой разводки центрального отопления</t>
  </si>
  <si>
    <t>**Для МКЖД с ОАГВ, полностью без центр. отопления, п.4 калькуляции не применяется</t>
  </si>
  <si>
    <t>Диагностирование внутридомового газового оборудования</t>
  </si>
  <si>
    <t>Итого по разделам 1-7</t>
  </si>
  <si>
    <t>Рентабельность</t>
  </si>
  <si>
    <t>РАЗДЕЛ 3</t>
  </si>
  <si>
    <r>
      <rPr>
        <b/>
        <sz val="14"/>
        <rFont val="Times New Roman"/>
        <charset val="204"/>
      </rPr>
      <t xml:space="preserve">на экономически обоснованный тариф по </t>
    </r>
    <r>
      <rPr>
        <b/>
        <u/>
        <sz val="14"/>
        <rFont val="Times New Roman"/>
        <charset val="204"/>
      </rPr>
      <t>управлению</t>
    </r>
  </si>
  <si>
    <t xml:space="preserve"> на 1 м2 общей площади в месяц</t>
  </si>
  <si>
    <t>Услуги по сборам платежей (платежные агенты по сбору платежей с населения Почта, СБ, ОТП банк и т.п.) Содержание и обслуживание банковских р/счетов</t>
  </si>
  <si>
    <t>Услуги по начислению, доставке платежных документов, учету платежей, ведение электр.базы, сверке, выдаче справок, формированию отчетов, информирование населения о тарифах, канцтовары и пр.</t>
  </si>
  <si>
    <t>АУП управляющей организации. Работа по раскрытию информации УК, оформление стенда, обслуживание сайтов УК, Реформа ЖКХ, ГИС ЖКХ. Работа по ведению и хранению тех.документации на МКЖД, Протоколов решений собственников, Принятие жалоб и обращений. Лицензия ЖКХ и обучение персонала</t>
  </si>
  <si>
    <t>Аварийно-диспетчерское круглосуточное обслуживание</t>
  </si>
  <si>
    <t>Претензионная работа (Формирование исков, госпошлина, выписки из БТИ, Россреестра, уведомление должникам, транспортные, канцелярские расходы и др.) Информационная работа с населением.</t>
  </si>
  <si>
    <t>Организация учета потребления и контроля качества поставляемых коммунальных услуг (съем показаний с приборов учета КУ, обработка передача сведений в РСО и др.)</t>
  </si>
  <si>
    <t>ВСЕГО ПО РАЗДЕЛУ 1,2,3:</t>
  </si>
  <si>
    <t>*Калькуляция рассчитана на площадь, учтенной при выборе средних (преобладающих) условий - 86980 м2</t>
  </si>
  <si>
    <t>Тарифы, кроме того:</t>
  </si>
  <si>
    <r>
      <rPr>
        <sz val="13"/>
        <rFont val="Times New Roman"/>
        <charset val="204"/>
      </rPr>
      <t>1. Размер платы за обслуживание и ремонт общедомовых приборов учета тепловой энергии (УУТЭ) для многоквартирных домов, оборудованных общедом. приборами учета тепловой энергии:</t>
    </r>
    <r>
      <rPr>
        <b/>
        <sz val="13"/>
        <rFont val="Times New Roman"/>
        <charset val="204"/>
      </rPr>
      <t xml:space="preserve"> - 1,41 руб. за 1 кв.м</t>
    </r>
  </si>
  <si>
    <r>
      <rPr>
        <sz val="13"/>
        <rFont val="Times New Roman"/>
        <charset val="204"/>
      </rPr>
      <t>2. Сервисное обслуживание входного запирающего устройства домофонной системы МКЖД: -</t>
    </r>
    <r>
      <rPr>
        <b/>
        <sz val="13"/>
        <rFont val="Times New Roman"/>
        <charset val="204"/>
      </rPr>
      <t xml:space="preserve"> 56,14 руб. с квартиры в месяц</t>
    </r>
  </si>
  <si>
    <t>3. Размер платы за коммунальные услуги, предоставляемые на СОИД (содержание общего имущества дома) в МКЖД для жилых и нежилых помещений: электроснабжение, водоснабжение, водоотведение, рассчитывается исходя из установленных тарифов на коммунальные ресурсы, утв. Постановлениями РСТ РО.</t>
  </si>
  <si>
    <t xml:space="preserve">4.Тариф по сбору, вывозу и утилизации ТБО с 01.01.19г. исключен из состава тарифа по содержанию и ремонту жилых и нежилых помещений и введен как коммунальная услуга для населения - ТКО, на основании Правил обращения с ТКО, утв. Постановлением Правительства РФ № 1156 от 12.11.16г. «Об обращении с ТКО и внесении изменения в Пост. Правит. РФ от 25.08.2008г № 641 и Постановления правительства РО № 276 от 12.04.2017г. «Об утверждении Порядка накопления ТКО (в том числе их раздельного накопления) на территории РО (с изменениями на 6 июня 2018г. в ред. Пост. Прав. РО от 11.08.17 № 543, от 06.06.18 № 383) и в соответствии с Постановлением № 85/121 от 20.12.18 «Об установлении единого тарифа на услугу регионального оператора по обращению с твердыми коммунальными отходами ООО «Экострой-Дон» (ИНН 6125028860) в зоне деятельности Красносулинского межмуниципального экологического отходоперерабатывающего комплекса на 2019 год» и с Федеральным законом от 24.06.1998 № 89-ФЗ «Об отходах производства и потребления», постановлением Правительства Российской Федерации от 30.05.2016 № 484 «О ценообразовании в области обращения с твердыми коммунальными отходами», Методическими указаниями по расчету регулируемых тарифов в области обращения с твердыми коммунальными отходами, утвержденными приказом ФАС России от 21.11.2016 № 1638/16, Положением о Региональной службе по тарифам Ростовской области, утвержденным постановлением Правительства Ростовской области от 13.01.2012 № 20, установлен единый тариф на услугу регионального оператора по обращению с твердыми коммунальными отходами ООО «Экострой-Дон» (ИНН 6125028860):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</si>
</sst>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63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4"/>
      <name val="Times New Roman"/>
      <charset val="204"/>
    </font>
    <font>
      <u/>
      <sz val="13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5"/>
      <name val="Calibri"/>
      <charset val="204"/>
      <scheme val="minor"/>
    </font>
    <font>
      <sz val="12"/>
      <name val="Calibri"/>
      <charset val="204"/>
      <scheme val="minor"/>
    </font>
    <font>
      <sz val="12"/>
      <color indexed="8"/>
      <name val="Times New Roman"/>
      <charset val="204"/>
    </font>
    <font>
      <sz val="14"/>
      <name val="Calibri"/>
      <charset val="204"/>
      <scheme val="minor"/>
    </font>
    <font>
      <sz val="12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5"/>
      <name val="Times New Roman"/>
      <charset val="204"/>
    </font>
    <font>
      <b/>
      <u/>
      <sz val="14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indexed="8"/>
      <name val="Times New Roman"/>
      <charset val="204"/>
    </font>
    <font>
      <sz val="11"/>
      <color indexed="8"/>
      <name val="Times New Roman"/>
      <charset val="204"/>
    </font>
    <font>
      <b/>
      <sz val="13"/>
      <color indexed="8"/>
      <name val="Times New Roman"/>
      <charset val="204"/>
    </font>
    <font>
      <sz val="13"/>
      <color indexed="8"/>
      <name val="Times New Roman"/>
      <charset val="204"/>
    </font>
    <font>
      <b/>
      <sz val="15"/>
      <name val="Calibri"/>
      <charset val="204"/>
      <scheme val="minor"/>
    </font>
    <font>
      <i/>
      <sz val="11"/>
      <color indexed="8"/>
      <name val="Times New Roman"/>
      <charset val="204"/>
    </font>
    <font>
      <i/>
      <sz val="13"/>
      <color indexed="8"/>
      <name val="Times New Roman"/>
      <charset val="204"/>
    </font>
    <font>
      <b/>
      <sz val="11"/>
      <color rgb="FFFF0000"/>
      <name val="Times New Roman"/>
      <charset val="204"/>
    </font>
    <font>
      <sz val="11"/>
      <name val="Times New Roman"/>
      <charset val="204"/>
    </font>
    <font>
      <sz val="13"/>
      <name val="Times New Roman"/>
      <charset val="204"/>
    </font>
    <font>
      <b/>
      <sz val="11"/>
      <name val="Times New Roman"/>
      <charset val="204"/>
    </font>
    <font>
      <b/>
      <sz val="13"/>
      <name val="Times New Roman"/>
      <charset val="204"/>
    </font>
    <font>
      <b/>
      <i/>
      <sz val="13"/>
      <color indexed="8"/>
      <name val="Times New Roman"/>
      <charset val="204"/>
    </font>
    <font>
      <sz val="9"/>
      <name val="Times New Roman"/>
      <charset val="204"/>
    </font>
    <font>
      <b/>
      <u/>
      <sz val="13"/>
      <color indexed="8"/>
      <name val="Times New Roman"/>
      <charset val="204"/>
    </font>
    <font>
      <b/>
      <sz val="14"/>
      <color indexed="8"/>
      <name val="Times New Roman"/>
      <charset val="204"/>
    </font>
    <font>
      <b/>
      <sz val="14"/>
      <color theme="1"/>
      <name val="Times New Roman"/>
      <charset val="204"/>
    </font>
    <font>
      <b/>
      <sz val="13"/>
      <color theme="1"/>
      <name val="Times New Roman"/>
      <charset val="204"/>
    </font>
    <font>
      <b/>
      <i/>
      <sz val="14"/>
      <color theme="1"/>
      <name val="Times New Roman"/>
      <charset val="204"/>
    </font>
    <font>
      <b/>
      <i/>
      <sz val="14"/>
      <name val="Times New Roman"/>
      <charset val="204"/>
    </font>
    <font>
      <b/>
      <u/>
      <sz val="14"/>
      <name val="Times New Roman"/>
      <charset val="204"/>
    </font>
    <font>
      <u/>
      <sz val="15"/>
      <name val="Calibri"/>
      <charset val="204"/>
      <scheme val="minor"/>
    </font>
    <font>
      <sz val="15"/>
      <color rgb="FFFF0000"/>
      <name val="Calibri"/>
      <charset val="204"/>
      <scheme val="minor"/>
    </font>
    <font>
      <sz val="13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3" fillId="0" borderId="0" applyFont="0" applyFill="0" applyBorder="0" applyAlignment="0" applyProtection="0">
      <alignment vertical="center"/>
    </xf>
    <xf numFmtId="177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178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5" borderId="2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23" applyNumberFormat="0" applyAlignment="0" applyProtection="0">
      <alignment vertical="center"/>
    </xf>
    <xf numFmtId="0" fontId="53" fillId="7" borderId="24" applyNumberFormat="0" applyAlignment="0" applyProtection="0">
      <alignment vertical="center"/>
    </xf>
    <xf numFmtId="0" fontId="54" fillId="7" borderId="23" applyNumberFormat="0" applyAlignment="0" applyProtection="0">
      <alignment vertical="center"/>
    </xf>
    <xf numFmtId="0" fontId="55" fillId="8" borderId="25" applyNumberFormat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 vertical="center"/>
    </xf>
    <xf numFmtId="0" fontId="18" fillId="0" borderId="0" xfId="0" applyFont="1"/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wrapText="1"/>
    </xf>
    <xf numFmtId="2" fontId="21" fillId="0" borderId="6" xfId="0" applyNumberFormat="1" applyFont="1" applyBorder="1"/>
    <xf numFmtId="10" fontId="5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wrapText="1"/>
    </xf>
    <xf numFmtId="2" fontId="22" fillId="0" borderId="7" xfId="0" applyNumberFormat="1" applyFont="1" applyBorder="1"/>
    <xf numFmtId="0" fontId="23" fillId="0" borderId="8" xfId="0" applyFont="1" applyBorder="1"/>
    <xf numFmtId="0" fontId="24" fillId="0" borderId="7" xfId="0" applyFont="1" applyFill="1" applyBorder="1" applyAlignment="1">
      <alignment wrapText="1"/>
    </xf>
    <xf numFmtId="2" fontId="25" fillId="0" borderId="7" xfId="0" applyNumberFormat="1" applyFont="1" applyBorder="1"/>
    <xf numFmtId="0" fontId="20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2" fontId="21" fillId="0" borderId="7" xfId="0" applyNumberFormat="1" applyFont="1" applyBorder="1"/>
    <xf numFmtId="2" fontId="21" fillId="0" borderId="7" xfId="0" applyNumberFormat="1" applyFont="1" applyFill="1" applyBorder="1"/>
    <xf numFmtId="2" fontId="21" fillId="2" borderId="7" xfId="0" applyNumberFormat="1" applyFont="1" applyFill="1" applyBorder="1"/>
    <xf numFmtId="0" fontId="26" fillId="0" borderId="7" xfId="0" applyFont="1" applyBorder="1" applyAlignment="1">
      <alignment horizontal="center" vertical="center"/>
    </xf>
    <xf numFmtId="0" fontId="27" fillId="0" borderId="7" xfId="0" applyFont="1" applyFill="1" applyBorder="1" applyAlignment="1">
      <alignment wrapText="1"/>
    </xf>
    <xf numFmtId="2" fontId="28" fillId="0" borderId="7" xfId="0" applyNumberFormat="1" applyFont="1" applyBorder="1"/>
    <xf numFmtId="0" fontId="26" fillId="0" borderId="7" xfId="0" applyFont="1" applyFill="1" applyBorder="1" applyAlignment="1">
      <alignment horizontal="center" vertical="center"/>
    </xf>
    <xf numFmtId="2" fontId="28" fillId="0" borderId="7" xfId="0" applyNumberFormat="1" applyFont="1" applyFill="1" applyBorder="1"/>
    <xf numFmtId="0" fontId="17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wrapText="1"/>
    </xf>
    <xf numFmtId="2" fontId="30" fillId="0" borderId="7" xfId="0" applyNumberFormat="1" applyFont="1" applyBorder="1"/>
    <xf numFmtId="2" fontId="30" fillId="0" borderId="7" xfId="0" applyNumberFormat="1" applyFont="1" applyFill="1" applyBorder="1"/>
    <xf numFmtId="0" fontId="17" fillId="0" borderId="7" xfId="0" applyFont="1" applyBorder="1" applyAlignment="1">
      <alignment wrapText="1"/>
    </xf>
    <xf numFmtId="0" fontId="20" fillId="0" borderId="7" xfId="0" applyFont="1" applyBorder="1"/>
    <xf numFmtId="2" fontId="5" fillId="0" borderId="0" xfId="0" applyNumberFormat="1" applyFont="1"/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2" fontId="21" fillId="0" borderId="9" xfId="0" applyNumberFormat="1" applyFont="1" applyBorder="1" applyAlignment="1">
      <alignment horizontal="right" vertical="center"/>
    </xf>
    <xf numFmtId="2" fontId="21" fillId="0" borderId="9" xfId="0" applyNumberFormat="1" applyFont="1" applyBorder="1" applyAlignment="1">
      <alignment horizontal="right"/>
    </xf>
    <xf numFmtId="180" fontId="5" fillId="0" borderId="10" xfId="0" applyNumberFormat="1" applyFont="1" applyBorder="1"/>
    <xf numFmtId="0" fontId="17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176" fontId="31" fillId="2" borderId="6" xfId="1" applyFont="1" applyFill="1" applyBorder="1" applyAlignment="1">
      <alignment horizontal="center" vertical="center"/>
    </xf>
    <xf numFmtId="2" fontId="31" fillId="0" borderId="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7" fillId="0" borderId="2" xfId="0" applyFont="1" applyBorder="1"/>
    <xf numFmtId="0" fontId="21" fillId="0" borderId="2" xfId="0" applyFont="1" applyBorder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wrapText="1"/>
    </xf>
    <xf numFmtId="2" fontId="21" fillId="2" borderId="6" xfId="0" applyNumberFormat="1" applyFont="1" applyFill="1" applyBorder="1"/>
    <xf numFmtId="2" fontId="21" fillId="0" borderId="6" xfId="0" applyNumberFormat="1" applyFont="1" applyFill="1" applyBorder="1"/>
    <xf numFmtId="0" fontId="19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2" fontId="22" fillId="0" borderId="7" xfId="0" applyNumberFormat="1" applyFont="1" applyFill="1" applyBorder="1"/>
    <xf numFmtId="2" fontId="25" fillId="0" borderId="7" xfId="0" applyNumberFormat="1" applyFont="1" applyFill="1" applyBorder="1"/>
    <xf numFmtId="0" fontId="19" fillId="0" borderId="7" xfId="0" applyFont="1" applyFill="1" applyBorder="1" applyAlignment="1">
      <alignment wrapText="1"/>
    </xf>
    <xf numFmtId="2" fontId="21" fillId="0" borderId="12" xfId="0" applyNumberFormat="1" applyFont="1" applyFill="1" applyBorder="1"/>
    <xf numFmtId="2" fontId="21" fillId="0" borderId="12" xfId="0" applyNumberFormat="1" applyFont="1" applyBorder="1"/>
    <xf numFmtId="2" fontId="12" fillId="0" borderId="0" xfId="0" applyNumberFormat="1" applyFont="1" applyBorder="1" applyAlignment="1">
      <alignment horizontal="center" vertical="center" wrapText="1"/>
    </xf>
    <xf numFmtId="2" fontId="22" fillId="0" borderId="12" xfId="0" applyNumberFormat="1" applyFont="1" applyFill="1" applyBorder="1"/>
    <xf numFmtId="2" fontId="22" fillId="0" borderId="12" xfId="0" applyNumberFormat="1" applyFont="1" applyBorder="1"/>
    <xf numFmtId="2" fontId="32" fillId="0" borderId="13" xfId="0" applyNumberFormat="1" applyFont="1" applyFill="1" applyBorder="1" applyAlignment="1">
      <alignment horizontal="center" vertical="center" wrapText="1"/>
    </xf>
    <xf numFmtId="2" fontId="25" fillId="0" borderId="12" xfId="0" applyNumberFormat="1" applyFont="1" applyBorder="1"/>
    <xf numFmtId="2" fontId="32" fillId="0" borderId="4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9" fillId="0" borderId="7" xfId="0" applyFont="1" applyBorder="1" applyAlignment="1">
      <alignment wrapText="1"/>
    </xf>
    <xf numFmtId="0" fontId="7" fillId="0" borderId="7" xfId="0" applyFont="1" applyBorder="1"/>
    <xf numFmtId="0" fontId="7" fillId="0" borderId="7" xfId="0" applyFont="1" applyBorder="1" applyAlignment="1">
      <alignment wrapText="1"/>
    </xf>
    <xf numFmtId="180" fontId="5" fillId="0" borderId="0" xfId="0" applyNumberFormat="1" applyFont="1"/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2" fontId="21" fillId="0" borderId="9" xfId="0" applyNumberFormat="1" applyFont="1" applyFill="1" applyBorder="1" applyAlignment="1">
      <alignment horizontal="right"/>
    </xf>
    <xf numFmtId="0" fontId="5" fillId="0" borderId="10" xfId="0" applyFont="1" applyBorder="1"/>
    <xf numFmtId="0" fontId="19" fillId="0" borderId="6" xfId="0" applyFont="1" applyBorder="1" applyAlignment="1">
      <alignment vertical="center"/>
    </xf>
    <xf numFmtId="176" fontId="31" fillId="0" borderId="6" xfId="1" applyFont="1" applyBorder="1" applyAlignment="1">
      <alignment horizontal="right" vertical="center"/>
    </xf>
    <xf numFmtId="2" fontId="31" fillId="0" borderId="6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4" fillId="0" borderId="2" xfId="0" applyFont="1" applyBorder="1"/>
    <xf numFmtId="0" fontId="34" fillId="0" borderId="2" xfId="0" applyFont="1" applyBorder="1" applyAlignment="1">
      <alignment horizontal="right"/>
    </xf>
    <xf numFmtId="0" fontId="3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wrapText="1"/>
    </xf>
    <xf numFmtId="0" fontId="35" fillId="0" borderId="6" xfId="0" applyFont="1" applyBorder="1"/>
    <xf numFmtId="0" fontId="36" fillId="0" borderId="7" xfId="0" applyFont="1" applyBorder="1" applyAlignment="1">
      <alignment wrapText="1"/>
    </xf>
    <xf numFmtId="2" fontId="35" fillId="0" borderId="6" xfId="0" applyNumberFormat="1" applyFont="1" applyBorder="1"/>
    <xf numFmtId="2" fontId="10" fillId="0" borderId="14" xfId="0" applyNumberFormat="1" applyFont="1" applyBorder="1"/>
    <xf numFmtId="2" fontId="10" fillId="0" borderId="15" xfId="0" applyNumberFormat="1" applyFont="1" applyBorder="1"/>
    <xf numFmtId="0" fontId="35" fillId="0" borderId="7" xfId="0" applyFont="1" applyBorder="1"/>
    <xf numFmtId="2" fontId="35" fillId="0" borderId="7" xfId="0" applyNumberFormat="1" applyFont="1" applyBorder="1"/>
    <xf numFmtId="2" fontId="10" fillId="0" borderId="7" xfId="0" applyNumberFormat="1" applyFont="1" applyBorder="1"/>
    <xf numFmtId="2" fontId="10" fillId="2" borderId="12" xfId="0" applyNumberFormat="1" applyFont="1" applyFill="1" applyBorder="1"/>
    <xf numFmtId="2" fontId="10" fillId="2" borderId="7" xfId="0" applyNumberFormat="1" applyFont="1" applyFill="1" applyBorder="1"/>
    <xf numFmtId="2" fontId="10" fillId="0" borderId="12" xfId="0" applyNumberFormat="1" applyFont="1" applyBorder="1"/>
    <xf numFmtId="0" fontId="35" fillId="0" borderId="9" xfId="0" applyFont="1" applyBorder="1"/>
    <xf numFmtId="0" fontId="36" fillId="0" borderId="9" xfId="0" applyFont="1" applyBorder="1" applyAlignment="1">
      <alignment wrapText="1"/>
    </xf>
    <xf numFmtId="2" fontId="35" fillId="0" borderId="9" xfId="0" applyNumberFormat="1" applyFont="1" applyBorder="1"/>
    <xf numFmtId="2" fontId="10" fillId="0" borderId="9" xfId="0" applyNumberFormat="1" applyFont="1" applyFill="1" applyBorder="1"/>
    <xf numFmtId="2" fontId="10" fillId="0" borderId="9" xfId="0" applyNumberFormat="1" applyFont="1" applyBorder="1"/>
    <xf numFmtId="0" fontId="35" fillId="0" borderId="11" xfId="0" applyFont="1" applyBorder="1"/>
    <xf numFmtId="0" fontId="35" fillId="0" borderId="11" xfId="0" applyFont="1" applyBorder="1" applyAlignment="1">
      <alignment horizontal="center"/>
    </xf>
    <xf numFmtId="176" fontId="37" fillId="0" borderId="11" xfId="1" applyFont="1" applyBorder="1" applyAlignment="1"/>
    <xf numFmtId="2" fontId="38" fillId="3" borderId="11" xfId="0" applyNumberFormat="1" applyFont="1" applyFill="1" applyBorder="1" applyAlignment="1">
      <alignment horizontal="center"/>
    </xf>
    <xf numFmtId="2" fontId="38" fillId="0" borderId="11" xfId="0" applyNumberFormat="1" applyFont="1" applyBorder="1" applyAlignment="1">
      <alignment horizontal="center"/>
    </xf>
    <xf numFmtId="2" fontId="38" fillId="0" borderId="16" xfId="0" applyNumberFormat="1" applyFont="1" applyBorder="1" applyAlignment="1">
      <alignment horizontal="center"/>
    </xf>
    <xf numFmtId="0" fontId="35" fillId="0" borderId="17" xfId="0" applyFont="1" applyBorder="1"/>
    <xf numFmtId="0" fontId="35" fillId="0" borderId="18" xfId="0" applyFont="1" applyBorder="1" applyAlignment="1">
      <alignment horizontal="center"/>
    </xf>
    <xf numFmtId="2" fontId="37" fillId="0" borderId="18" xfId="0" applyNumberFormat="1" applyFont="1" applyBorder="1"/>
    <xf numFmtId="2" fontId="38" fillId="0" borderId="18" xfId="0" applyNumberFormat="1" applyFont="1" applyBorder="1" applyAlignment="1">
      <alignment horizontal="center"/>
    </xf>
    <xf numFmtId="0" fontId="5" fillId="0" borderId="1" xfId="0" applyFont="1" applyBorder="1"/>
    <xf numFmtId="0" fontId="35" fillId="4" borderId="17" xfId="0" applyFont="1" applyFill="1" applyBorder="1" applyAlignment="1">
      <alignment horizontal="center"/>
    </xf>
    <xf numFmtId="0" fontId="35" fillId="4" borderId="19" xfId="0" applyFont="1" applyFill="1" applyBorder="1" applyAlignment="1">
      <alignment horizontal="center"/>
    </xf>
    <xf numFmtId="2" fontId="38" fillId="4" borderId="11" xfId="0" applyNumberFormat="1" applyFont="1" applyFill="1" applyBorder="1" applyAlignment="1">
      <alignment horizontal="center"/>
    </xf>
    <xf numFmtId="2" fontId="5" fillId="4" borderId="0" xfId="0" applyNumberFormat="1" applyFont="1" applyFill="1"/>
    <xf numFmtId="0" fontId="35" fillId="0" borderId="0" xfId="0" applyFont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40" fillId="0" borderId="0" xfId="0" applyFont="1"/>
    <xf numFmtId="0" fontId="28" fillId="0" borderId="0" xfId="0" applyFont="1" applyBorder="1" applyAlignment="1">
      <alignment wrapText="1"/>
    </xf>
    <xf numFmtId="0" fontId="41" fillId="0" borderId="0" xfId="0" applyFont="1"/>
    <xf numFmtId="0" fontId="0" fillId="0" borderId="0" xfId="0" applyBorder="1"/>
    <xf numFmtId="0" fontId="42" fillId="0" borderId="0" xfId="0" applyFont="1" applyAlignment="1">
      <alignment vertical="top" wrapText="1"/>
    </xf>
    <xf numFmtId="0" fontId="42" fillId="0" borderId="0" xfId="0" applyFont="1" applyAlignment="1">
      <alignment vertical="top"/>
    </xf>
    <xf numFmtId="0" fontId="5" fillId="4" borderId="0" xfId="0" applyFont="1" applyFill="1"/>
    <xf numFmtId="0" fontId="5" fillId="4" borderId="1" xfId="0" applyFont="1" applyFill="1" applyBorder="1"/>
    <xf numFmtId="2" fontId="1" fillId="0" borderId="0" xfId="0" applyNumberFormat="1" applyFont="1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99"/>
  <sheetViews>
    <sheetView tabSelected="1" view="pageBreakPreview" zoomScale="80" zoomScaleNormal="80" workbookViewId="0">
      <selection activeCell="F6" sqref="F6"/>
    </sheetView>
  </sheetViews>
  <sheetFormatPr defaultColWidth="9" defaultRowHeight="19.8"/>
  <cols>
    <col min="1" max="1" width="4" customWidth="1"/>
    <col min="2" max="2" width="59.4259259259259" customWidth="1"/>
    <col min="3" max="3" width="17.287037037037" customWidth="1"/>
    <col min="4" max="4" width="17.4259259259259" customWidth="1"/>
    <col min="5" max="5" width="17" customWidth="1"/>
    <col min="6" max="6" width="16.5740740740741" customWidth="1"/>
    <col min="7" max="7" width="13.5740740740741" customWidth="1"/>
    <col min="8" max="8" width="20.1388888888889" style="5" hidden="1" customWidth="1"/>
    <col min="9" max="9" width="13.5740740740741" style="1" hidden="1" customWidth="1"/>
    <col min="10" max="15" width="13.5740740740741" hidden="1" customWidth="1"/>
    <col min="16" max="16" width="9.13888888888889" customWidth="1"/>
  </cols>
  <sheetData>
    <row r="1" s="1" customFormat="1" spans="1:8">
      <c r="A1" s="2" t="s">
        <v>0</v>
      </c>
      <c r="E1" s="6"/>
      <c r="F1" s="7" t="s">
        <v>1</v>
      </c>
      <c r="G1" s="8">
        <v>1</v>
      </c>
      <c r="H1" s="5"/>
    </row>
    <row r="2" s="1" customFormat="1" spans="1:8">
      <c r="A2" s="2"/>
      <c r="E2" s="9" t="s">
        <v>2</v>
      </c>
      <c r="F2" s="6"/>
      <c r="G2" s="10"/>
      <c r="H2" s="5"/>
    </row>
    <row r="3" s="1" customFormat="1" spans="1:8">
      <c r="A3" s="2"/>
      <c r="E3" s="11" t="s">
        <v>3</v>
      </c>
      <c r="F3" s="6"/>
      <c r="G3" s="6"/>
      <c r="H3" s="5"/>
    </row>
    <row r="4" s="1" customFormat="1" ht="17.4" spans="1:7">
      <c r="A4" s="12" t="s">
        <v>4</v>
      </c>
      <c r="B4" s="12"/>
      <c r="C4" s="12"/>
      <c r="D4" s="12"/>
      <c r="E4" s="11" t="s">
        <v>5</v>
      </c>
      <c r="F4" s="6"/>
      <c r="G4" s="6"/>
    </row>
    <row r="5" s="1" customFormat="1" spans="1:8">
      <c r="A5" s="12" t="s">
        <v>6</v>
      </c>
      <c r="B5" s="12"/>
      <c r="C5" s="12"/>
      <c r="D5" s="12"/>
      <c r="E5" s="13"/>
      <c r="F5" s="13"/>
      <c r="G5" s="13"/>
      <c r="H5" s="5"/>
    </row>
    <row r="6" s="2" customFormat="1" ht="19.2" spans="1:8">
      <c r="A6" s="12" t="s">
        <v>7</v>
      </c>
      <c r="B6" s="12"/>
      <c r="C6" s="12"/>
      <c r="D6" s="12"/>
      <c r="E6" s="13"/>
      <c r="F6" s="13"/>
      <c r="G6" s="13"/>
      <c r="H6" s="14"/>
    </row>
    <row r="7" s="2" customFormat="1" ht="19.2" spans="1:8">
      <c r="A7" s="15" t="s">
        <v>8</v>
      </c>
      <c r="B7" s="15"/>
      <c r="C7" s="15"/>
      <c r="D7" s="15"/>
      <c r="E7" s="13"/>
      <c r="F7" s="16"/>
      <c r="G7" s="16"/>
      <c r="H7" s="14"/>
    </row>
    <row r="8" spans="1:7">
      <c r="A8" s="17"/>
      <c r="C8" s="18"/>
      <c r="D8" s="19"/>
      <c r="E8" s="20"/>
      <c r="F8" s="21" t="s">
        <v>9</v>
      </c>
      <c r="G8" s="22">
        <v>86980</v>
      </c>
    </row>
    <row r="9" ht="59.1" spans="1:10">
      <c r="A9" s="23" t="s">
        <v>10</v>
      </c>
      <c r="B9" s="23" t="s">
        <v>11</v>
      </c>
      <c r="C9" s="24" t="s">
        <v>12</v>
      </c>
      <c r="D9" s="25" t="s">
        <v>13</v>
      </c>
      <c r="E9" s="26" t="s">
        <v>14</v>
      </c>
      <c r="F9" s="27" t="s">
        <v>15</v>
      </c>
      <c r="G9" s="27" t="s">
        <v>16</v>
      </c>
      <c r="H9" s="28" t="s">
        <v>17</v>
      </c>
      <c r="J9" s="5" t="s">
        <v>18</v>
      </c>
    </row>
    <row r="10" ht="21.3" spans="1:10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30"/>
      <c r="J10" s="5"/>
    </row>
    <row r="11" ht="42.9" spans="1:9">
      <c r="A11" s="31" t="s">
        <v>19</v>
      </c>
      <c r="B11" s="32" t="s">
        <v>20</v>
      </c>
      <c r="C11" s="33">
        <f>C12+C13+C14+C15</f>
        <v>168370.089086471</v>
      </c>
      <c r="D11" s="33">
        <f>D12+D13+D14+D15</f>
        <v>1.93573337648277</v>
      </c>
      <c r="E11" s="33">
        <f t="shared" ref="E11:E16" si="0">D11</f>
        <v>1.93573337648277</v>
      </c>
      <c r="F11" s="33">
        <f t="shared" ref="F11:F16" si="1">D11</f>
        <v>1.93573337648277</v>
      </c>
      <c r="G11" s="33">
        <f t="shared" ref="G11:G16" si="2">D11</f>
        <v>1.93573337648277</v>
      </c>
      <c r="H11" s="34">
        <v>0.0817</v>
      </c>
      <c r="I11" s="94"/>
    </row>
    <row r="12" ht="28.35" spans="1:8">
      <c r="A12" s="35"/>
      <c r="B12" s="36" t="s">
        <v>21</v>
      </c>
      <c r="C12" s="37">
        <f>106294.62*H12</f>
        <v>114978.890454</v>
      </c>
      <c r="D12" s="37">
        <f>C12/86980</f>
        <v>1.32190032713267</v>
      </c>
      <c r="E12" s="37">
        <f t="shared" si="0"/>
        <v>1.32190032713267</v>
      </c>
      <c r="F12" s="37">
        <f t="shared" si="1"/>
        <v>1.32190032713267</v>
      </c>
      <c r="G12" s="37">
        <f t="shared" si="2"/>
        <v>1.32190032713267</v>
      </c>
      <c r="H12" s="38">
        <f>108.17/100</f>
        <v>1.0817</v>
      </c>
    </row>
    <row r="13" ht="27.6" spans="1:7">
      <c r="A13" s="35"/>
      <c r="B13" s="39" t="s">
        <v>22</v>
      </c>
      <c r="C13" s="40">
        <f>C12*30.28/100</f>
        <v>34815.6080294712</v>
      </c>
      <c r="D13" s="40">
        <f>C13/86980</f>
        <v>0.400271419055774</v>
      </c>
      <c r="E13" s="40">
        <f t="shared" si="0"/>
        <v>0.400271419055774</v>
      </c>
      <c r="F13" s="40">
        <f t="shared" si="1"/>
        <v>0.400271419055774</v>
      </c>
      <c r="G13" s="40">
        <f t="shared" si="2"/>
        <v>0.400271419055774</v>
      </c>
    </row>
    <row r="14" spans="1:7">
      <c r="A14" s="35"/>
      <c r="B14" s="41" t="s">
        <v>23</v>
      </c>
      <c r="C14" s="37">
        <f>14573.18*H12</f>
        <v>15763.808806</v>
      </c>
      <c r="D14" s="37">
        <f t="shared" ref="D14:D26" si="3">C14/86980</f>
        <v>0.181234867854679</v>
      </c>
      <c r="E14" s="37">
        <f t="shared" si="0"/>
        <v>0.181234867854679</v>
      </c>
      <c r="F14" s="37">
        <f t="shared" si="1"/>
        <v>0.181234867854679</v>
      </c>
      <c r="G14" s="37">
        <f t="shared" si="2"/>
        <v>0.181234867854679</v>
      </c>
    </row>
    <row r="15" spans="1:7">
      <c r="A15" s="35"/>
      <c r="B15" s="41" t="s">
        <v>24</v>
      </c>
      <c r="C15" s="37">
        <f>2599.41*H12</f>
        <v>2811.781797</v>
      </c>
      <c r="D15" s="37">
        <f t="shared" si="3"/>
        <v>0.0323267624396413</v>
      </c>
      <c r="E15" s="37">
        <f t="shared" si="0"/>
        <v>0.0323267624396413</v>
      </c>
      <c r="F15" s="37">
        <f t="shared" si="1"/>
        <v>0.0323267624396413</v>
      </c>
      <c r="G15" s="37">
        <f t="shared" si="2"/>
        <v>0.0323267624396413</v>
      </c>
    </row>
    <row r="16" ht="27.6" spans="1:7">
      <c r="A16" s="35" t="s">
        <v>25</v>
      </c>
      <c r="B16" s="42" t="s">
        <v>26</v>
      </c>
      <c r="C16" s="43">
        <f>26696.63*H12</f>
        <v>28877.744671</v>
      </c>
      <c r="D16" s="44">
        <f t="shared" si="3"/>
        <v>0.332004422522419</v>
      </c>
      <c r="E16" s="43">
        <f t="shared" si="0"/>
        <v>0.332004422522419</v>
      </c>
      <c r="F16" s="43">
        <f t="shared" si="1"/>
        <v>0.332004422522419</v>
      </c>
      <c r="G16" s="43">
        <f t="shared" si="2"/>
        <v>0.332004422522419</v>
      </c>
    </row>
    <row r="17" ht="27.6" spans="1:7">
      <c r="A17" s="35" t="s">
        <v>27</v>
      </c>
      <c r="B17" s="42" t="s">
        <v>28</v>
      </c>
      <c r="C17" s="43">
        <f>C18+C19+C20+C21+C23+C24</f>
        <v>315676.484378322</v>
      </c>
      <c r="D17" s="45">
        <f t="shared" si="3"/>
        <v>3.62929965944266</v>
      </c>
      <c r="E17" s="43">
        <f t="shared" ref="E17:E22" si="4">D17</f>
        <v>3.62929965944266</v>
      </c>
      <c r="F17" s="44">
        <f t="shared" ref="F17:F22" si="5">D17</f>
        <v>3.62929965944266</v>
      </c>
      <c r="G17" s="43">
        <f t="shared" ref="G17:G22" si="6">D17</f>
        <v>3.62929965944266</v>
      </c>
    </row>
    <row r="18" ht="27.6" spans="1:7">
      <c r="A18" s="35"/>
      <c r="B18" s="41" t="s">
        <v>29</v>
      </c>
      <c r="C18" s="37">
        <f>142014.74*H12</f>
        <v>153617.344258</v>
      </c>
      <c r="D18" s="37">
        <f t="shared" si="3"/>
        <v>1.76612260586342</v>
      </c>
      <c r="E18" s="37">
        <f t="shared" si="4"/>
        <v>1.76612260586342</v>
      </c>
      <c r="F18" s="37">
        <f t="shared" si="5"/>
        <v>1.76612260586342</v>
      </c>
      <c r="G18" s="37">
        <f t="shared" si="6"/>
        <v>1.76612260586342</v>
      </c>
    </row>
    <row r="19" ht="27.6" spans="1:7">
      <c r="A19" s="35"/>
      <c r="B19" s="39" t="s">
        <v>22</v>
      </c>
      <c r="C19" s="40">
        <f>C18*30.28/100</f>
        <v>46515.3318413224</v>
      </c>
      <c r="D19" s="40">
        <f t="shared" si="3"/>
        <v>0.534781925055443</v>
      </c>
      <c r="E19" s="40">
        <f t="shared" si="4"/>
        <v>0.534781925055443</v>
      </c>
      <c r="F19" s="40">
        <f t="shared" si="5"/>
        <v>0.534781925055443</v>
      </c>
      <c r="G19" s="40">
        <f t="shared" si="6"/>
        <v>0.534781925055443</v>
      </c>
    </row>
    <row r="20" ht="27.6" spans="1:7">
      <c r="A20" s="46"/>
      <c r="B20" s="47" t="s">
        <v>30</v>
      </c>
      <c r="C20" s="48">
        <f>27051.23*H12</f>
        <v>29261.315491</v>
      </c>
      <c r="D20" s="48">
        <f t="shared" si="3"/>
        <v>0.336414296286503</v>
      </c>
      <c r="E20" s="48">
        <f t="shared" si="4"/>
        <v>0.336414296286503</v>
      </c>
      <c r="F20" s="48">
        <f t="shared" si="5"/>
        <v>0.336414296286503</v>
      </c>
      <c r="G20" s="48">
        <f t="shared" si="6"/>
        <v>0.336414296286503</v>
      </c>
    </row>
    <row r="21" ht="27.6" spans="1:7">
      <c r="A21" s="49"/>
      <c r="B21" s="47" t="s">
        <v>31</v>
      </c>
      <c r="C21" s="50">
        <f>20896.04*H12</f>
        <v>22603.246468</v>
      </c>
      <c r="D21" s="50">
        <f t="shared" si="3"/>
        <v>0.259867170246034</v>
      </c>
      <c r="E21" s="50"/>
      <c r="F21" s="50">
        <f t="shared" si="5"/>
        <v>0.259867170246034</v>
      </c>
      <c r="G21" s="50"/>
    </row>
    <row r="22" ht="27" customHeight="1" spans="1:7">
      <c r="A22" s="49"/>
      <c r="B22" s="47" t="s">
        <v>32</v>
      </c>
      <c r="C22" s="50">
        <f>20896.04*H12</f>
        <v>22603.246468</v>
      </c>
      <c r="D22" s="50"/>
      <c r="E22" s="50">
        <f>C21/86980</f>
        <v>0.259867170246034</v>
      </c>
      <c r="F22" s="50"/>
      <c r="G22" s="50">
        <f>E22</f>
        <v>0.259867170246034</v>
      </c>
    </row>
    <row r="23" spans="1:7">
      <c r="A23" s="35"/>
      <c r="B23" s="41" t="s">
        <v>33</v>
      </c>
      <c r="C23" s="37">
        <f>47883.74*H12</f>
        <v>51795.841558</v>
      </c>
      <c r="D23" s="37">
        <f>C23/86980</f>
        <v>0.595491395240285</v>
      </c>
      <c r="E23" s="37">
        <f t="shared" ref="E23:E36" si="7">D23</f>
        <v>0.595491395240285</v>
      </c>
      <c r="F23" s="37">
        <f t="shared" ref="F23:F36" si="8">D23</f>
        <v>0.595491395240285</v>
      </c>
      <c r="G23" s="37">
        <f t="shared" ref="G23:G36" si="9">D23</f>
        <v>0.595491395240285</v>
      </c>
    </row>
    <row r="24" spans="1:7">
      <c r="A24" s="35"/>
      <c r="B24" s="41" t="s">
        <v>34</v>
      </c>
      <c r="C24" s="37">
        <f>10985.86*H12</f>
        <v>11883.404762</v>
      </c>
      <c r="D24" s="37">
        <f>C24/86980</f>
        <v>0.136622266750977</v>
      </c>
      <c r="E24" s="37">
        <f t="shared" si="7"/>
        <v>0.136622266750977</v>
      </c>
      <c r="F24" s="37">
        <f t="shared" si="8"/>
        <v>0.136622266750977</v>
      </c>
      <c r="G24" s="37">
        <f t="shared" si="9"/>
        <v>0.136622266750977</v>
      </c>
    </row>
    <row r="25" s="1" customFormat="1" spans="1:8">
      <c r="A25" s="51" t="s">
        <v>35</v>
      </c>
      <c r="B25" s="52" t="s">
        <v>36</v>
      </c>
      <c r="C25" s="53">
        <f>28786.06*H12</f>
        <v>31137.881102</v>
      </c>
      <c r="D25" s="54">
        <f>C25/86980</f>
        <v>0.357988975649575</v>
      </c>
      <c r="E25" s="53">
        <f t="shared" si="7"/>
        <v>0.357988975649575</v>
      </c>
      <c r="F25" s="53">
        <f t="shared" si="8"/>
        <v>0.357988975649575</v>
      </c>
      <c r="G25" s="53">
        <f t="shared" si="9"/>
        <v>0.357988975649575</v>
      </c>
      <c r="H25" s="5"/>
    </row>
    <row r="26" spans="1:7">
      <c r="A26" s="35" t="s">
        <v>37</v>
      </c>
      <c r="B26" s="42" t="s">
        <v>38</v>
      </c>
      <c r="C26" s="43">
        <f>C27+C28+C29+C30+C31</f>
        <v>67003.2487068516</v>
      </c>
      <c r="D26" s="45">
        <f>C26/86980-0.01</f>
        <v>0.76032937119857</v>
      </c>
      <c r="E26" s="43">
        <f t="shared" si="7"/>
        <v>0.76032937119857</v>
      </c>
      <c r="F26" s="43">
        <f t="shared" si="8"/>
        <v>0.76032937119857</v>
      </c>
      <c r="G26" s="43">
        <f t="shared" si="9"/>
        <v>0.76032937119857</v>
      </c>
    </row>
    <row r="27" spans="1:7">
      <c r="A27" s="35"/>
      <c r="B27" s="41" t="s">
        <v>39</v>
      </c>
      <c r="C27" s="48">
        <f>35746.41*H12</f>
        <v>38666.891697</v>
      </c>
      <c r="D27" s="37">
        <f>C27/86980</f>
        <v>0.44454922622442</v>
      </c>
      <c r="E27" s="37">
        <f t="shared" si="7"/>
        <v>0.44454922622442</v>
      </c>
      <c r="F27" s="37">
        <f t="shared" si="8"/>
        <v>0.44454922622442</v>
      </c>
      <c r="G27" s="37">
        <f t="shared" si="9"/>
        <v>0.44454922622442</v>
      </c>
    </row>
    <row r="28" ht="27.6" spans="1:7">
      <c r="A28" s="35"/>
      <c r="B28" s="39" t="s">
        <v>22</v>
      </c>
      <c r="C28" s="40">
        <f>C27*30.28/100</f>
        <v>11708.3348058516</v>
      </c>
      <c r="D28" s="40">
        <f t="shared" ref="D28:D31" si="10">C28/86980</f>
        <v>0.134609505700754</v>
      </c>
      <c r="E28" s="40">
        <f t="shared" si="7"/>
        <v>0.134609505700754</v>
      </c>
      <c r="F28" s="40">
        <f t="shared" si="8"/>
        <v>0.134609505700754</v>
      </c>
      <c r="G28" s="40">
        <f t="shared" si="9"/>
        <v>0.134609505700754</v>
      </c>
    </row>
    <row r="29" spans="1:7">
      <c r="A29" s="35"/>
      <c r="B29" s="41" t="s">
        <v>40</v>
      </c>
      <c r="C29" s="37">
        <f>2937.4*H12</f>
        <v>3177.38558</v>
      </c>
      <c r="D29" s="37">
        <f t="shared" si="10"/>
        <v>0.0365300710508163</v>
      </c>
      <c r="E29" s="37">
        <f t="shared" si="7"/>
        <v>0.0365300710508163</v>
      </c>
      <c r="F29" s="37">
        <f t="shared" si="8"/>
        <v>0.0365300710508163</v>
      </c>
      <c r="G29" s="37">
        <f t="shared" si="9"/>
        <v>0.0365300710508163</v>
      </c>
    </row>
    <row r="30" spans="1:7">
      <c r="A30" s="35"/>
      <c r="B30" s="41" t="s">
        <v>41</v>
      </c>
      <c r="C30" s="37">
        <f>8237.01*H12</f>
        <v>8909.973717</v>
      </c>
      <c r="D30" s="37">
        <f t="shared" si="10"/>
        <v>0.102437039744769</v>
      </c>
      <c r="E30" s="37">
        <f t="shared" si="7"/>
        <v>0.102437039744769</v>
      </c>
      <c r="F30" s="37">
        <f t="shared" si="8"/>
        <v>0.102437039744769</v>
      </c>
      <c r="G30" s="37">
        <f t="shared" si="9"/>
        <v>0.102437039744769</v>
      </c>
    </row>
    <row r="31" spans="1:7">
      <c r="A31" s="35"/>
      <c r="B31" s="41" t="s">
        <v>42</v>
      </c>
      <c r="C31" s="37">
        <f>4197.71*H12</f>
        <v>4540.662907</v>
      </c>
      <c r="D31" s="37">
        <f t="shared" si="10"/>
        <v>0.052203528477811</v>
      </c>
      <c r="E31" s="37">
        <f t="shared" si="7"/>
        <v>0.052203528477811</v>
      </c>
      <c r="F31" s="37">
        <f t="shared" si="8"/>
        <v>0.052203528477811</v>
      </c>
      <c r="G31" s="37">
        <f t="shared" si="9"/>
        <v>0.052203528477811</v>
      </c>
    </row>
    <row r="32" spans="1:7">
      <c r="A32" s="35" t="s">
        <v>43</v>
      </c>
      <c r="B32" s="55" t="s">
        <v>44</v>
      </c>
      <c r="C32" s="43">
        <f>C33</f>
        <v>9041.227195</v>
      </c>
      <c r="D32" s="43">
        <f>D33</f>
        <v>0.103946047309726</v>
      </c>
      <c r="E32" s="43">
        <f t="shared" si="7"/>
        <v>0.103946047309726</v>
      </c>
      <c r="F32" s="43">
        <f t="shared" si="8"/>
        <v>0.103946047309726</v>
      </c>
      <c r="G32" s="43">
        <f t="shared" si="9"/>
        <v>0.103946047309726</v>
      </c>
    </row>
    <row r="33" spans="1:7">
      <c r="A33" s="56"/>
      <c r="B33" s="36" t="s">
        <v>45</v>
      </c>
      <c r="C33" s="37">
        <f>8358.35*H12</f>
        <v>9041.227195</v>
      </c>
      <c r="D33" s="37">
        <f>C33/86980</f>
        <v>0.103946047309726</v>
      </c>
      <c r="E33" s="37">
        <f t="shared" si="7"/>
        <v>0.103946047309726</v>
      </c>
      <c r="F33" s="37">
        <f t="shared" si="8"/>
        <v>0.103946047309726</v>
      </c>
      <c r="G33" s="37">
        <f t="shared" si="9"/>
        <v>0.103946047309726</v>
      </c>
    </row>
    <row r="34" spans="1:8">
      <c r="A34" s="56"/>
      <c r="B34" s="55" t="s">
        <v>46</v>
      </c>
      <c r="C34" s="43">
        <f>C11+C16+C17+C26+C25+C32</f>
        <v>620106.675139645</v>
      </c>
      <c r="D34" s="45">
        <f>C34/86980-0.01</f>
        <v>7.11930185260572</v>
      </c>
      <c r="E34" s="43">
        <f t="shared" si="7"/>
        <v>7.11930185260572</v>
      </c>
      <c r="F34" s="43">
        <f t="shared" si="8"/>
        <v>7.11930185260572</v>
      </c>
      <c r="G34" s="43">
        <f t="shared" si="9"/>
        <v>7.11930185260572</v>
      </c>
      <c r="H34" s="57">
        <f>1.94+0.33+3.63+0.36+0.76+0.1</f>
        <v>7.12</v>
      </c>
    </row>
    <row r="35" ht="20.55" spans="1:8">
      <c r="A35" s="58" t="s">
        <v>47</v>
      </c>
      <c r="B35" s="59" t="s">
        <v>48</v>
      </c>
      <c r="C35" s="60">
        <f>C34*5/100</f>
        <v>31005.3337569823</v>
      </c>
      <c r="D35" s="61">
        <f>C35/86980</f>
        <v>0.356465092630286</v>
      </c>
      <c r="E35" s="61">
        <f t="shared" si="7"/>
        <v>0.356465092630286</v>
      </c>
      <c r="F35" s="61">
        <f t="shared" si="8"/>
        <v>0.356465092630286</v>
      </c>
      <c r="G35" s="61">
        <f t="shared" si="9"/>
        <v>0.356465092630286</v>
      </c>
      <c r="H35" s="62">
        <v>0.36</v>
      </c>
    </row>
    <row r="36" ht="20.55" spans="1:8">
      <c r="A36" s="63"/>
      <c r="B36" s="64" t="s">
        <v>49</v>
      </c>
      <c r="C36" s="65">
        <f>C34+C35-0.01</f>
        <v>651111.998896628</v>
      </c>
      <c r="D36" s="66">
        <f>D34+D35</f>
        <v>7.475766945236</v>
      </c>
      <c r="E36" s="66">
        <f t="shared" si="7"/>
        <v>7.475766945236</v>
      </c>
      <c r="F36" s="66">
        <f t="shared" si="8"/>
        <v>7.475766945236</v>
      </c>
      <c r="G36" s="66">
        <f t="shared" si="9"/>
        <v>7.475766945236</v>
      </c>
      <c r="H36" s="57">
        <f>H34+H35</f>
        <v>7.48</v>
      </c>
    </row>
    <row r="37" spans="1:7">
      <c r="A37" s="2"/>
      <c r="B37" s="2"/>
      <c r="C37" s="2"/>
      <c r="D37" s="67"/>
      <c r="E37" s="67"/>
      <c r="F37" s="67"/>
      <c r="G37" s="67"/>
    </row>
    <row r="38" spans="1:7">
      <c r="A38" s="2" t="s">
        <v>50</v>
      </c>
      <c r="B38" s="2"/>
      <c r="C38" s="2"/>
      <c r="D38" s="67"/>
      <c r="E38" s="67"/>
      <c r="F38" s="67"/>
      <c r="G38" s="67"/>
    </row>
    <row r="39" spans="1:7">
      <c r="A39" s="12" t="s">
        <v>4</v>
      </c>
      <c r="B39" s="12"/>
      <c r="C39" s="12"/>
      <c r="D39" s="12"/>
      <c r="E39" s="13"/>
      <c r="F39" s="13"/>
      <c r="G39" s="13"/>
    </row>
    <row r="40" spans="1:7">
      <c r="A40" s="12" t="s">
        <v>51</v>
      </c>
      <c r="B40" s="12"/>
      <c r="C40" s="12"/>
      <c r="D40" s="12"/>
      <c r="E40" s="13"/>
      <c r="F40" s="13"/>
      <c r="G40" s="13"/>
    </row>
    <row r="41" spans="1:7">
      <c r="A41" s="12" t="s">
        <v>7</v>
      </c>
      <c r="B41" s="12"/>
      <c r="C41" s="12"/>
      <c r="D41" s="12"/>
      <c r="E41" s="13"/>
      <c r="F41" s="13"/>
      <c r="G41" s="13"/>
    </row>
    <row r="42" spans="1:7">
      <c r="A42" s="68"/>
      <c r="B42" s="69" t="str">
        <f>A7</f>
        <v>с 01.07.2024г по 30.06.2025г</v>
      </c>
      <c r="C42" s="18"/>
      <c r="D42" s="19"/>
      <c r="F42" s="18" t="s">
        <v>9</v>
      </c>
      <c r="G42" s="19">
        <v>86980</v>
      </c>
    </row>
    <row r="43" ht="59.1" spans="1:8">
      <c r="A43" s="70" t="s">
        <v>10</v>
      </c>
      <c r="B43" s="70" t="s">
        <v>11</v>
      </c>
      <c r="C43" s="71" t="s">
        <v>12</v>
      </c>
      <c r="D43" s="72" t="s">
        <v>13</v>
      </c>
      <c r="E43" s="73" t="s">
        <v>14</v>
      </c>
      <c r="F43" s="74" t="s">
        <v>15</v>
      </c>
      <c r="G43" s="74" t="s">
        <v>16</v>
      </c>
      <c r="H43" s="28" t="str">
        <f>H9</f>
        <v>индекс повышение с 1.07.2024</v>
      </c>
    </row>
    <row r="44" customFormat="1" ht="21.3" spans="1:10">
      <c r="A44" s="29">
        <v>1</v>
      </c>
      <c r="B44" s="29">
        <v>2</v>
      </c>
      <c r="C44" s="29">
        <v>3</v>
      </c>
      <c r="D44" s="29">
        <v>4</v>
      </c>
      <c r="E44" s="29">
        <v>5</v>
      </c>
      <c r="F44" s="29">
        <v>6</v>
      </c>
      <c r="G44" s="29">
        <v>7</v>
      </c>
      <c r="H44" s="30"/>
      <c r="I44" s="1"/>
      <c r="J44" s="5"/>
    </row>
    <row r="45" ht="32.7" spans="1:8">
      <c r="A45" s="75" t="s">
        <v>19</v>
      </c>
      <c r="B45" s="76" t="s">
        <v>52</v>
      </c>
      <c r="C45" s="33">
        <f>C46+C47+C48+C49+C50</f>
        <v>277642.943447711</v>
      </c>
      <c r="D45" s="77">
        <f>D46+D47+D48+D49+D50+0.01</f>
        <v>3.2020320010084</v>
      </c>
      <c r="E45" s="33">
        <f t="shared" ref="E45:E74" si="11">D45</f>
        <v>3.2020320010084</v>
      </c>
      <c r="F45" s="78">
        <f>G45</f>
        <v>3.2020320010084</v>
      </c>
      <c r="G45" s="78">
        <f t="shared" ref="G45:G56" si="12">D45</f>
        <v>3.2020320010084</v>
      </c>
      <c r="H45" s="34">
        <f>H11</f>
        <v>0.0817</v>
      </c>
    </row>
    <row r="46" ht="20.55" spans="1:8">
      <c r="A46" s="79"/>
      <c r="B46" s="80" t="s">
        <v>53</v>
      </c>
      <c r="C46" s="37">
        <f>118392.33*H46</f>
        <v>128064.983361</v>
      </c>
      <c r="D46" s="37">
        <f t="shared" ref="D46:D69" si="13">C46/86980</f>
        <v>1.47234977421246</v>
      </c>
      <c r="E46" s="37">
        <f t="shared" si="11"/>
        <v>1.47234977421246</v>
      </c>
      <c r="F46" s="81">
        <f t="shared" ref="F46:F57" si="14">G46</f>
        <v>1.47234977421246</v>
      </c>
      <c r="G46" s="81">
        <f t="shared" si="12"/>
        <v>1.47234977421246</v>
      </c>
      <c r="H46" s="38">
        <f>H12</f>
        <v>1.0817</v>
      </c>
    </row>
    <row r="47" ht="27.6" spans="1:7">
      <c r="A47" s="79"/>
      <c r="B47" s="39" t="s">
        <v>22</v>
      </c>
      <c r="C47" s="40">
        <f>C46*30.28/100</f>
        <v>38778.0769617108</v>
      </c>
      <c r="D47" s="40">
        <f t="shared" si="13"/>
        <v>0.445827511631534</v>
      </c>
      <c r="E47" s="40">
        <f t="shared" si="11"/>
        <v>0.445827511631534</v>
      </c>
      <c r="F47" s="82">
        <f t="shared" si="14"/>
        <v>0.445827511631534</v>
      </c>
      <c r="G47" s="82">
        <f t="shared" si="12"/>
        <v>0.445827511631534</v>
      </c>
    </row>
    <row r="48" spans="1:7">
      <c r="A48" s="79"/>
      <c r="B48" s="80" t="s">
        <v>23</v>
      </c>
      <c r="C48" s="37">
        <f>82426.72*H46</f>
        <v>89160.983024</v>
      </c>
      <c r="D48" s="37">
        <f t="shared" si="13"/>
        <v>1.02507453465164</v>
      </c>
      <c r="E48" s="37">
        <f t="shared" si="11"/>
        <v>1.02507453465164</v>
      </c>
      <c r="F48" s="81">
        <f t="shared" si="14"/>
        <v>1.02507453465164</v>
      </c>
      <c r="G48" s="81">
        <f t="shared" si="12"/>
        <v>1.02507453465164</v>
      </c>
    </row>
    <row r="49" spans="1:7">
      <c r="A49" s="79"/>
      <c r="B49" s="80" t="s">
        <v>54</v>
      </c>
      <c r="C49" s="37">
        <f>15727.62*H46</f>
        <v>17012.566554</v>
      </c>
      <c r="D49" s="37">
        <f t="shared" si="13"/>
        <v>0.195591705610485</v>
      </c>
      <c r="E49" s="37">
        <f t="shared" si="11"/>
        <v>0.195591705610485</v>
      </c>
      <c r="F49" s="81">
        <f t="shared" si="14"/>
        <v>0.195591705610485</v>
      </c>
      <c r="G49" s="81">
        <f t="shared" si="12"/>
        <v>0.195591705610485</v>
      </c>
    </row>
    <row r="50" spans="1:7">
      <c r="A50" s="79"/>
      <c r="B50" s="80" t="s">
        <v>42</v>
      </c>
      <c r="C50" s="37">
        <f>4276.91*H46</f>
        <v>4626.333547</v>
      </c>
      <c r="D50" s="37">
        <f t="shared" si="13"/>
        <v>0.0531884749022764</v>
      </c>
      <c r="E50" s="37">
        <f t="shared" si="11"/>
        <v>0.0531884749022764</v>
      </c>
      <c r="F50" s="81">
        <f t="shared" si="14"/>
        <v>0.0531884749022764</v>
      </c>
      <c r="G50" s="81">
        <f t="shared" si="12"/>
        <v>0.0531884749022764</v>
      </c>
    </row>
    <row r="51" ht="31.2" spans="1:7">
      <c r="A51" s="79" t="s">
        <v>25</v>
      </c>
      <c r="B51" s="83" t="s">
        <v>55</v>
      </c>
      <c r="C51" s="43">
        <f>24255.93*H46</f>
        <v>26237.639481</v>
      </c>
      <c r="D51" s="44">
        <f t="shared" si="13"/>
        <v>0.301651408151299</v>
      </c>
      <c r="E51" s="43">
        <f t="shared" si="11"/>
        <v>0.301651408151299</v>
      </c>
      <c r="F51" s="44">
        <f t="shared" si="14"/>
        <v>0.301651408151299</v>
      </c>
      <c r="G51" s="44">
        <f t="shared" si="12"/>
        <v>0.301651408151299</v>
      </c>
    </row>
    <row r="52" ht="46.8" spans="1:7">
      <c r="A52" s="79" t="s">
        <v>27</v>
      </c>
      <c r="B52" s="83" t="s">
        <v>56</v>
      </c>
      <c r="C52" s="43">
        <f>C53+C54+C55+C56</f>
        <v>160488.832976569</v>
      </c>
      <c r="D52" s="43">
        <f t="shared" si="13"/>
        <v>1.84512339591365</v>
      </c>
      <c r="E52" s="43">
        <f t="shared" si="11"/>
        <v>1.84512339591365</v>
      </c>
      <c r="F52" s="44">
        <f t="shared" si="14"/>
        <v>1.84512339591365</v>
      </c>
      <c r="G52" s="44">
        <f t="shared" si="12"/>
        <v>1.84512339591365</v>
      </c>
    </row>
    <row r="53" spans="1:7">
      <c r="A53" s="79"/>
      <c r="B53" s="80" t="s">
        <v>53</v>
      </c>
      <c r="C53" s="37">
        <f>91934.38*H46</f>
        <v>99445.418846</v>
      </c>
      <c r="D53" s="37">
        <f t="shared" si="13"/>
        <v>1.14331362205105</v>
      </c>
      <c r="E53" s="37">
        <f t="shared" si="11"/>
        <v>1.14331362205105</v>
      </c>
      <c r="F53" s="81">
        <f t="shared" si="14"/>
        <v>1.14331362205105</v>
      </c>
      <c r="G53" s="81">
        <f t="shared" si="12"/>
        <v>1.14331362205105</v>
      </c>
    </row>
    <row r="54" ht="27.6" spans="1:7">
      <c r="A54" s="79"/>
      <c r="B54" s="39" t="s">
        <v>22</v>
      </c>
      <c r="C54" s="40">
        <f>C53*30.28/100</f>
        <v>30112.0728265688</v>
      </c>
      <c r="D54" s="40">
        <f t="shared" si="13"/>
        <v>0.346195364757057</v>
      </c>
      <c r="E54" s="40">
        <f t="shared" si="11"/>
        <v>0.346195364757057</v>
      </c>
      <c r="F54" s="82">
        <f t="shared" si="14"/>
        <v>0.346195364757057</v>
      </c>
      <c r="G54" s="82">
        <f t="shared" si="12"/>
        <v>0.346195364757057</v>
      </c>
    </row>
    <row r="55" spans="1:7">
      <c r="A55" s="79"/>
      <c r="B55" s="80" t="s">
        <v>23</v>
      </c>
      <c r="C55" s="37">
        <f>25395.35*H46</f>
        <v>27470.150095</v>
      </c>
      <c r="D55" s="37">
        <f t="shared" si="13"/>
        <v>0.315821454299839</v>
      </c>
      <c r="E55" s="37">
        <f t="shared" si="11"/>
        <v>0.315821454299839</v>
      </c>
      <c r="F55" s="81">
        <f t="shared" si="14"/>
        <v>0.315821454299839</v>
      </c>
      <c r="G55" s="81">
        <f t="shared" si="12"/>
        <v>0.315821454299839</v>
      </c>
    </row>
    <row r="56" spans="1:7">
      <c r="A56" s="79"/>
      <c r="B56" s="80" t="s">
        <v>24</v>
      </c>
      <c r="C56" s="37">
        <f>3199.77*H46</f>
        <v>3461.191209</v>
      </c>
      <c r="D56" s="37">
        <f t="shared" si="13"/>
        <v>0.0397929548057025</v>
      </c>
      <c r="E56" s="37">
        <f t="shared" si="11"/>
        <v>0.0397929548057025</v>
      </c>
      <c r="F56" s="81">
        <f t="shared" si="14"/>
        <v>0.0397929548057025</v>
      </c>
      <c r="G56" s="81">
        <f t="shared" si="12"/>
        <v>0.0397929548057025</v>
      </c>
    </row>
    <row r="57" ht="31.2" spans="1:8">
      <c r="A57" s="79" t="s">
        <v>35</v>
      </c>
      <c r="B57" s="83" t="s">
        <v>57</v>
      </c>
      <c r="C57" s="43">
        <f>C58+C59+C60+C61+C62</f>
        <v>293341.599835834</v>
      </c>
      <c r="D57" s="84">
        <f t="shared" si="13"/>
        <v>3.37251781830115</v>
      </c>
      <c r="E57" s="85">
        <f t="shared" si="11"/>
        <v>3.37251781830115</v>
      </c>
      <c r="F57" s="44">
        <f t="shared" si="14"/>
        <v>0</v>
      </c>
      <c r="G57" s="44">
        <v>0</v>
      </c>
      <c r="H57" s="86"/>
    </row>
    <row r="58" ht="16.5" customHeight="1" spans="1:8">
      <c r="A58" s="79"/>
      <c r="B58" s="80" t="s">
        <v>53</v>
      </c>
      <c r="C58" s="37">
        <f>104889.65*H46</f>
        <v>113459.134405</v>
      </c>
      <c r="D58" s="87">
        <f t="shared" si="13"/>
        <v>1.30442785013796</v>
      </c>
      <c r="E58" s="88">
        <f t="shared" si="11"/>
        <v>1.30442785013796</v>
      </c>
      <c r="F58" s="89" t="s">
        <v>58</v>
      </c>
      <c r="G58" s="89" t="s">
        <v>58</v>
      </c>
      <c r="H58" s="86"/>
    </row>
    <row r="59" ht="27.6" spans="1:8">
      <c r="A59" s="79"/>
      <c r="B59" s="39" t="s">
        <v>22</v>
      </c>
      <c r="C59" s="40">
        <f>C58*30.28/100</f>
        <v>34355.425897834</v>
      </c>
      <c r="D59" s="40">
        <f t="shared" si="13"/>
        <v>0.394980753021775</v>
      </c>
      <c r="E59" s="90">
        <f t="shared" si="11"/>
        <v>0.394980753021775</v>
      </c>
      <c r="F59" s="91"/>
      <c r="G59" s="91"/>
      <c r="H59" s="86"/>
    </row>
    <row r="60" ht="19.2" spans="1:8">
      <c r="A60" s="79"/>
      <c r="B60" s="80" t="s">
        <v>23</v>
      </c>
      <c r="C60" s="37">
        <f>66054.52*H46</f>
        <v>71451.174284</v>
      </c>
      <c r="D60" s="37">
        <f t="shared" si="13"/>
        <v>0.821466708254771</v>
      </c>
      <c r="E60" s="88">
        <f t="shared" si="11"/>
        <v>0.821466708254771</v>
      </c>
      <c r="F60" s="91"/>
      <c r="G60" s="91"/>
      <c r="H60" s="86"/>
    </row>
    <row r="61" ht="19.2" spans="1:8">
      <c r="A61" s="79"/>
      <c r="B61" s="80" t="s">
        <v>54</v>
      </c>
      <c r="C61" s="37">
        <f>64996.1*H46</f>
        <v>70306.28137</v>
      </c>
      <c r="D61" s="81">
        <f t="shared" si="13"/>
        <v>0.808303993676707</v>
      </c>
      <c r="E61" s="88">
        <f t="shared" si="11"/>
        <v>0.808303993676707</v>
      </c>
      <c r="F61" s="91"/>
      <c r="G61" s="91"/>
      <c r="H61" s="86"/>
    </row>
    <row r="62" s="1" customFormat="1" ht="19.2" spans="1:10">
      <c r="A62" s="79"/>
      <c r="B62" s="80" t="s">
        <v>42</v>
      </c>
      <c r="C62" s="37">
        <f>3484.87*H46</f>
        <v>3769.583879</v>
      </c>
      <c r="D62" s="81">
        <f t="shared" si="13"/>
        <v>0.0433385132099333</v>
      </c>
      <c r="E62" s="88">
        <f t="shared" si="11"/>
        <v>0.0433385132099333</v>
      </c>
      <c r="F62" s="92"/>
      <c r="G62" s="92"/>
      <c r="H62" s="86"/>
      <c r="J62"/>
    </row>
    <row r="63" s="1" customFormat="1" spans="1:8">
      <c r="A63" s="93">
        <v>5</v>
      </c>
      <c r="B63" s="52" t="s">
        <v>59</v>
      </c>
      <c r="C63" s="53">
        <f>32531.43*H46</f>
        <v>35189.247831</v>
      </c>
      <c r="D63" s="54">
        <f t="shared" si="13"/>
        <v>0.404567116934928</v>
      </c>
      <c r="E63" s="53">
        <f t="shared" si="11"/>
        <v>0.404567116934928</v>
      </c>
      <c r="F63" s="53">
        <f t="shared" ref="F63" si="15">D63</f>
        <v>0.404567116934928</v>
      </c>
      <c r="G63" s="53">
        <f t="shared" ref="G63:G71" si="16">D63</f>
        <v>0.404567116934928</v>
      </c>
      <c r="H63" s="5"/>
    </row>
    <row r="64" s="1" customFormat="1" spans="1:10">
      <c r="A64" s="79">
        <v>6</v>
      </c>
      <c r="B64" s="83" t="s">
        <v>38</v>
      </c>
      <c r="C64" s="43">
        <f>C65+C66+C67+C68+C69</f>
        <v>72080.3664287776</v>
      </c>
      <c r="D64" s="43">
        <f t="shared" ref="D63:D65" si="17">C64/86980</f>
        <v>0.828700464805445</v>
      </c>
      <c r="E64" s="43">
        <f t="shared" si="11"/>
        <v>0.828700464805445</v>
      </c>
      <c r="F64" s="44">
        <f t="shared" ref="F64:F74" si="18">G64</f>
        <v>0.828700464805445</v>
      </c>
      <c r="G64" s="44">
        <f t="shared" si="16"/>
        <v>0.828700464805445</v>
      </c>
      <c r="H64" s="5"/>
      <c r="J64"/>
    </row>
    <row r="65" s="1" customFormat="1" spans="1:10">
      <c r="A65" s="79"/>
      <c r="B65" s="80" t="s">
        <v>53</v>
      </c>
      <c r="C65" s="37">
        <f>36307.76*H46</f>
        <v>39274.103992</v>
      </c>
      <c r="D65" s="37">
        <f t="shared" si="17"/>
        <v>0.451530282731663</v>
      </c>
      <c r="E65" s="37">
        <f t="shared" si="11"/>
        <v>0.451530282731663</v>
      </c>
      <c r="F65" s="81">
        <f t="shared" si="18"/>
        <v>0.451530282731663</v>
      </c>
      <c r="G65" s="81">
        <f t="shared" si="16"/>
        <v>0.451530282731663</v>
      </c>
      <c r="H65" s="5"/>
      <c r="J65"/>
    </row>
    <row r="66" s="1" customFormat="1" ht="27.6" spans="1:10">
      <c r="A66" s="79"/>
      <c r="B66" s="39" t="s">
        <v>22</v>
      </c>
      <c r="C66" s="40">
        <f>C65*30.28/100</f>
        <v>11892.1986887776</v>
      </c>
      <c r="D66" s="40">
        <f t="shared" si="13"/>
        <v>0.136723369611147</v>
      </c>
      <c r="E66" s="40">
        <f t="shared" si="11"/>
        <v>0.136723369611147</v>
      </c>
      <c r="F66" s="82">
        <f t="shared" si="18"/>
        <v>0.136723369611147</v>
      </c>
      <c r="G66" s="82">
        <f t="shared" si="16"/>
        <v>0.136723369611147</v>
      </c>
      <c r="H66" s="5"/>
      <c r="J66"/>
    </row>
    <row r="67" s="1" customFormat="1" spans="1:10">
      <c r="A67" s="79"/>
      <c r="B67" s="80" t="s">
        <v>40</v>
      </c>
      <c r="C67" s="37">
        <f>3609*H46</f>
        <v>3903.8553</v>
      </c>
      <c r="D67" s="37">
        <f t="shared" si="13"/>
        <v>0.0448822177512072</v>
      </c>
      <c r="E67" s="37">
        <f t="shared" si="11"/>
        <v>0.0448822177512072</v>
      </c>
      <c r="F67" s="81">
        <f t="shared" si="18"/>
        <v>0.0448822177512072</v>
      </c>
      <c r="G67" s="81">
        <f t="shared" si="16"/>
        <v>0.0448822177512072</v>
      </c>
      <c r="H67" s="5"/>
      <c r="J67"/>
    </row>
    <row r="68" s="1" customFormat="1" spans="1:10">
      <c r="A68" s="79"/>
      <c r="B68" s="80" t="s">
        <v>41</v>
      </c>
      <c r="C68" s="37">
        <f>12557.35*H46</f>
        <v>13583.285495</v>
      </c>
      <c r="D68" s="37">
        <f t="shared" si="13"/>
        <v>0.156165618475512</v>
      </c>
      <c r="E68" s="37">
        <f t="shared" si="11"/>
        <v>0.156165618475512</v>
      </c>
      <c r="F68" s="81">
        <f t="shared" si="18"/>
        <v>0.156165618475512</v>
      </c>
      <c r="G68" s="81">
        <f t="shared" si="16"/>
        <v>0.156165618475512</v>
      </c>
      <c r="H68" s="5"/>
      <c r="J68"/>
    </row>
    <row r="69" s="1" customFormat="1" spans="1:10">
      <c r="A69" s="79"/>
      <c r="B69" s="80" t="s">
        <v>42</v>
      </c>
      <c r="C69" s="37">
        <f>3168.09*H46</f>
        <v>3426.922953</v>
      </c>
      <c r="D69" s="37">
        <f t="shared" si="13"/>
        <v>0.0393989762359163</v>
      </c>
      <c r="E69" s="37">
        <f t="shared" si="11"/>
        <v>0.0393989762359163</v>
      </c>
      <c r="F69" s="81">
        <f t="shared" si="18"/>
        <v>0.0393989762359163</v>
      </c>
      <c r="G69" s="81">
        <f t="shared" si="16"/>
        <v>0.0393989762359163</v>
      </c>
      <c r="H69" s="5"/>
      <c r="J69"/>
    </row>
    <row r="70" s="1" customFormat="1" spans="1:10">
      <c r="A70" s="79">
        <v>7</v>
      </c>
      <c r="B70" s="95" t="s">
        <v>44</v>
      </c>
      <c r="C70" s="43">
        <f>C71</f>
        <v>9141.327713</v>
      </c>
      <c r="D70" s="43">
        <f>D71</f>
        <v>0.0950968925385146</v>
      </c>
      <c r="E70" s="43">
        <f t="shared" si="11"/>
        <v>0.0950968925385146</v>
      </c>
      <c r="F70" s="44">
        <f t="shared" si="18"/>
        <v>0.0950968925385146</v>
      </c>
      <c r="G70" s="44">
        <f t="shared" si="16"/>
        <v>0.0950968925385146</v>
      </c>
      <c r="H70" s="5"/>
      <c r="J70"/>
    </row>
    <row r="71" s="1" customFormat="1" spans="1:10">
      <c r="A71" s="96"/>
      <c r="B71" s="97" t="s">
        <v>45</v>
      </c>
      <c r="C71" s="37">
        <f>8450.89*H46</f>
        <v>9141.327713</v>
      </c>
      <c r="D71" s="37">
        <f>C71/86980-0.01</f>
        <v>0.0950968925385146</v>
      </c>
      <c r="E71" s="37">
        <f t="shared" si="11"/>
        <v>0.0950968925385146</v>
      </c>
      <c r="F71" s="81">
        <f t="shared" si="18"/>
        <v>0.0950968925385146</v>
      </c>
      <c r="G71" s="81">
        <f t="shared" si="16"/>
        <v>0.0950968925385146</v>
      </c>
      <c r="H71" s="5"/>
      <c r="J71"/>
    </row>
    <row r="72" spans="1:9">
      <c r="A72" s="96"/>
      <c r="B72" s="95" t="s">
        <v>60</v>
      </c>
      <c r="C72" s="43">
        <f>C45+C51+C52+C57+C64+C70+C63</f>
        <v>874121.957713891</v>
      </c>
      <c r="D72" s="44">
        <f>D45+D51+D52+D57+D64+D70+D63</f>
        <v>10.0496890976534</v>
      </c>
      <c r="E72" s="43">
        <f t="shared" si="11"/>
        <v>10.0496890976534</v>
      </c>
      <c r="F72" s="45">
        <f>F45+F51+F52+F57+F63+F64+F674+F70</f>
        <v>6.67717127935223</v>
      </c>
      <c r="G72" s="44">
        <f>F72</f>
        <v>6.67717127935223</v>
      </c>
      <c r="H72" s="98">
        <f>3.2+0.3+1.85+3.37+0.4+0.83+0.1</f>
        <v>10.05</v>
      </c>
      <c r="I72" s="153">
        <f>3.2+0.3+1.85+0.4+0.83+0.1</f>
        <v>6.68</v>
      </c>
    </row>
    <row r="73" ht="20.55" spans="1:9">
      <c r="A73" s="99">
        <v>8</v>
      </c>
      <c r="B73" s="100" t="s">
        <v>61</v>
      </c>
      <c r="C73" s="60">
        <f>(C72)*5/100</f>
        <v>43706.0978856946</v>
      </c>
      <c r="D73" s="61">
        <f>C73/86980-0.01</f>
        <v>0.492484454882669</v>
      </c>
      <c r="E73" s="61">
        <f t="shared" si="11"/>
        <v>0.492484454882669</v>
      </c>
      <c r="F73" s="101">
        <f>G73</f>
        <v>0.333858563967612</v>
      </c>
      <c r="G73" s="101">
        <f>G72*5%</f>
        <v>0.333858563967612</v>
      </c>
      <c r="H73" s="102">
        <v>0.49</v>
      </c>
      <c r="I73" s="154">
        <v>0.33</v>
      </c>
    </row>
    <row r="74" ht="20.55" spans="1:9">
      <c r="A74" s="103"/>
      <c r="B74" s="64" t="s">
        <v>49</v>
      </c>
      <c r="C74" s="104">
        <f>C45+C51+C52+C57+C64+C70+C73+C63+0.01</f>
        <v>917828.065599586</v>
      </c>
      <c r="D74" s="66">
        <f>D45+D51+D52+D57+D64+D70+D73+D63</f>
        <v>10.5421735525361</v>
      </c>
      <c r="E74" s="66">
        <f t="shared" si="11"/>
        <v>10.5421735525361</v>
      </c>
      <c r="F74" s="105">
        <f>G74</f>
        <v>7.01102984331985</v>
      </c>
      <c r="G74" s="105">
        <f>G72+G73</f>
        <v>7.01102984331985</v>
      </c>
      <c r="H74" s="57">
        <f>H72+H73</f>
        <v>10.54</v>
      </c>
      <c r="I74" s="142">
        <f>I72+I73</f>
        <v>7.01</v>
      </c>
    </row>
    <row r="76" spans="1:9">
      <c r="A76" s="2" t="s">
        <v>62</v>
      </c>
      <c r="B76" s="106"/>
      <c r="C76" s="106"/>
      <c r="H76" s="57"/>
      <c r="I76" s="155"/>
    </row>
    <row r="77" spans="1:7">
      <c r="A77" s="12" t="s">
        <v>4</v>
      </c>
      <c r="B77" s="12"/>
      <c r="C77" s="12"/>
      <c r="D77" s="12"/>
      <c r="E77" s="13"/>
      <c r="F77" s="13"/>
      <c r="G77" s="13"/>
    </row>
    <row r="78" spans="1:7">
      <c r="A78" s="12" t="s">
        <v>63</v>
      </c>
      <c r="B78" s="12"/>
      <c r="C78" s="12"/>
      <c r="D78" s="12"/>
      <c r="E78" s="13"/>
      <c r="F78" s="13"/>
      <c r="G78" s="13"/>
    </row>
    <row r="79" spans="1:7">
      <c r="A79" s="12" t="s">
        <v>64</v>
      </c>
      <c r="B79" s="12"/>
      <c r="C79" s="12"/>
      <c r="D79" s="12"/>
      <c r="E79" s="13"/>
      <c r="F79" s="13"/>
      <c r="G79" s="13"/>
    </row>
    <row r="80" spans="1:7">
      <c r="A80" s="107"/>
      <c r="B80" s="108" t="str">
        <f>A7</f>
        <v>с 01.07.2024г по 30.06.2025г</v>
      </c>
      <c r="C80" s="18"/>
      <c r="D80" s="19"/>
      <c r="F80" s="18" t="s">
        <v>9</v>
      </c>
      <c r="G80" s="19">
        <v>86980</v>
      </c>
    </row>
    <row r="81" ht="59.1" spans="1:8">
      <c r="A81" s="109" t="s">
        <v>10</v>
      </c>
      <c r="B81" s="109" t="s">
        <v>11</v>
      </c>
      <c r="C81" s="110" t="s">
        <v>12</v>
      </c>
      <c r="D81" s="72" t="s">
        <v>13</v>
      </c>
      <c r="E81" s="73" t="s">
        <v>14</v>
      </c>
      <c r="F81" s="111" t="s">
        <v>15</v>
      </c>
      <c r="G81" s="111" t="s">
        <v>16</v>
      </c>
      <c r="H81" s="28" t="str">
        <f>H43</f>
        <v>индекс повышение с 1.07.2024</v>
      </c>
    </row>
    <row r="82" customFormat="1" ht="21.3" spans="1:10">
      <c r="A82" s="29">
        <v>1</v>
      </c>
      <c r="B82" s="29">
        <v>2</v>
      </c>
      <c r="C82" s="29">
        <v>3</v>
      </c>
      <c r="D82" s="29">
        <v>4</v>
      </c>
      <c r="E82" s="29">
        <v>5</v>
      </c>
      <c r="F82" s="29">
        <v>6</v>
      </c>
      <c r="G82" s="29">
        <v>7</v>
      </c>
      <c r="H82" s="30"/>
      <c r="I82" s="1"/>
      <c r="J82" s="5"/>
    </row>
    <row r="83" ht="69.75" customHeight="1" spans="1:8">
      <c r="A83" s="112">
        <v>1</v>
      </c>
      <c r="B83" s="113" t="s">
        <v>65</v>
      </c>
      <c r="C83" s="114">
        <f>19543.14*H84</f>
        <v>21139.814538</v>
      </c>
      <c r="D83" s="115">
        <f t="shared" ref="D83:D88" si="19">C83/86980</f>
        <v>0.243042245780639</v>
      </c>
      <c r="E83" s="115">
        <f>D83</f>
        <v>0.243042245780639</v>
      </c>
      <c r="F83" s="115">
        <f t="shared" ref="F83:G88" si="20">D83</f>
        <v>0.243042245780639</v>
      </c>
      <c r="G83" s="116">
        <f t="shared" si="20"/>
        <v>0.243042245780639</v>
      </c>
      <c r="H83" s="34">
        <f>H45</f>
        <v>0.0817</v>
      </c>
    </row>
    <row r="84" ht="87" customHeight="1" spans="1:8">
      <c r="A84" s="117">
        <v>2</v>
      </c>
      <c r="B84" s="113" t="s">
        <v>66</v>
      </c>
      <c r="C84" s="118">
        <f>44595.79*H84</f>
        <v>48239.266043</v>
      </c>
      <c r="D84" s="119">
        <f t="shared" si="19"/>
        <v>0.554601817003909</v>
      </c>
      <c r="E84" s="119">
        <f>D84</f>
        <v>0.554601817003909</v>
      </c>
      <c r="F84" s="119">
        <f t="shared" si="20"/>
        <v>0.554601817003909</v>
      </c>
      <c r="G84" s="119">
        <f t="shared" si="20"/>
        <v>0.554601817003909</v>
      </c>
      <c r="H84" s="38">
        <f>H46</f>
        <v>1.0817</v>
      </c>
    </row>
    <row r="85" ht="128.25" customHeight="1" spans="1:7">
      <c r="A85" s="117">
        <v>3</v>
      </c>
      <c r="B85" s="113" t="s">
        <v>67</v>
      </c>
      <c r="C85" s="118">
        <f>307804.63*H84</f>
        <v>332952.268271</v>
      </c>
      <c r="D85" s="120">
        <f>C85/86980+0.01</f>
        <v>3.83791754737871</v>
      </c>
      <c r="E85" s="121">
        <f>2.2*H84</f>
        <v>2.37974</v>
      </c>
      <c r="F85" s="122">
        <f t="shared" si="20"/>
        <v>3.83791754737871</v>
      </c>
      <c r="G85" s="119">
        <f t="shared" si="20"/>
        <v>2.37974</v>
      </c>
    </row>
    <row r="86" ht="33.6" spans="1:7">
      <c r="A86" s="117">
        <v>4</v>
      </c>
      <c r="B86" s="113" t="s">
        <v>68</v>
      </c>
      <c r="C86" s="118">
        <f>34200.53*H84</f>
        <v>36994.713301</v>
      </c>
      <c r="D86" s="119">
        <f t="shared" si="19"/>
        <v>0.425324365382847</v>
      </c>
      <c r="E86" s="119">
        <f>D86</f>
        <v>0.425324365382847</v>
      </c>
      <c r="F86" s="119">
        <f t="shared" si="20"/>
        <v>0.425324365382847</v>
      </c>
      <c r="G86" s="119">
        <f t="shared" si="20"/>
        <v>0.425324365382847</v>
      </c>
    </row>
    <row r="87" ht="84" spans="1:7">
      <c r="A87" s="117">
        <v>5</v>
      </c>
      <c r="B87" s="113" t="s">
        <v>69</v>
      </c>
      <c r="C87" s="118">
        <f>71809.91*H84</f>
        <v>77676.779647</v>
      </c>
      <c r="D87" s="119">
        <f t="shared" si="19"/>
        <v>0.893041844642447</v>
      </c>
      <c r="E87" s="119">
        <f>D87</f>
        <v>0.893041844642447</v>
      </c>
      <c r="F87" s="119">
        <f t="shared" si="20"/>
        <v>0.893041844642447</v>
      </c>
      <c r="G87" s="119">
        <f t="shared" si="20"/>
        <v>0.893041844642447</v>
      </c>
    </row>
    <row r="88" ht="76.5" customHeight="1" spans="1:11">
      <c r="A88" s="123">
        <v>6</v>
      </c>
      <c r="B88" s="124" t="s">
        <v>70</v>
      </c>
      <c r="C88" s="125">
        <f>9771.58*H84</f>
        <v>10569.918086</v>
      </c>
      <c r="D88" s="126">
        <f t="shared" si="19"/>
        <v>0.121521247252242</v>
      </c>
      <c r="E88" s="127"/>
      <c r="F88" s="127">
        <f t="shared" si="20"/>
        <v>0.121521247252242</v>
      </c>
      <c r="G88" s="127"/>
      <c r="H88" s="102"/>
      <c r="I88" s="156"/>
      <c r="J88" s="157"/>
      <c r="K88" s="157"/>
    </row>
    <row r="89" ht="22.5" customHeight="1" spans="1:11">
      <c r="A89" s="128"/>
      <c r="B89" s="129" t="s">
        <v>49</v>
      </c>
      <c r="C89" s="130">
        <f>C83+C84+C85+C87+C86+C88+0.01</f>
        <v>527572.769886</v>
      </c>
      <c r="D89" s="131">
        <f>D83+D84+D85+D87+D86+D88-0.01</f>
        <v>6.06544906744079</v>
      </c>
      <c r="E89" s="131">
        <f>E83+E84+E85+E87+E86+E88-0.01</f>
        <v>4.48575027280984</v>
      </c>
      <c r="F89" s="132">
        <f>D89</f>
        <v>6.06544906744079</v>
      </c>
      <c r="G89" s="133">
        <f>E89</f>
        <v>4.48575027280984</v>
      </c>
      <c r="H89" s="57">
        <f>0.24+0.55+3.84+0.43+0.89+0.12</f>
        <v>6.07</v>
      </c>
      <c r="I89" s="57">
        <f>0.24+0.55+2.38+0.43+0.89</f>
        <v>4.49</v>
      </c>
      <c r="J89" s="57">
        <f>0.24+0.55+3.84+0.43+0.89+0.12</f>
        <v>6.07</v>
      </c>
      <c r="K89" s="57">
        <f>0.24+0.55+2.38+0.43+0.89</f>
        <v>4.49</v>
      </c>
    </row>
    <row r="90" ht="21.3" spans="1:11">
      <c r="A90" s="134"/>
      <c r="B90" s="135"/>
      <c r="C90" s="136"/>
      <c r="D90" s="137"/>
      <c r="E90" s="137"/>
      <c r="F90" s="137"/>
      <c r="G90" s="137"/>
      <c r="H90" s="138"/>
      <c r="I90" s="156"/>
      <c r="J90" s="157"/>
      <c r="K90" s="156"/>
    </row>
    <row r="91" ht="35.25" customHeight="1" spans="1:11">
      <c r="A91" s="139">
        <v>7</v>
      </c>
      <c r="B91" s="139" t="s">
        <v>71</v>
      </c>
      <c r="C91" s="140"/>
      <c r="D91" s="141">
        <f>D36+D74+D89+0.01</f>
        <v>24.0933895652128</v>
      </c>
      <c r="E91" s="141">
        <f>E36+E74+E89+0.01</f>
        <v>22.5136907705819</v>
      </c>
      <c r="F91" s="141">
        <f t="shared" ref="F91:I91" si="21">F36+F74+F89</f>
        <v>20.5522458559966</v>
      </c>
      <c r="G91" s="141">
        <f t="shared" si="21"/>
        <v>18.9725470613657</v>
      </c>
      <c r="H91" s="142">
        <f t="shared" si="21"/>
        <v>24.09</v>
      </c>
      <c r="I91" s="142">
        <f>H36+H74+I89</f>
        <v>22.51</v>
      </c>
      <c r="J91" s="142">
        <f>H36+I74+J89</f>
        <v>20.56</v>
      </c>
      <c r="K91" s="142">
        <f>H36+I74+K89</f>
        <v>18.98</v>
      </c>
    </row>
    <row r="92" spans="1:7">
      <c r="A92" s="143"/>
      <c r="B92" s="143"/>
      <c r="C92" s="143"/>
      <c r="D92" s="144"/>
      <c r="E92" s="144"/>
      <c r="F92" s="144"/>
      <c r="G92" s="144"/>
    </row>
    <row r="93" ht="15" customHeight="1" spans="1:8">
      <c r="A93" s="145" t="s">
        <v>72</v>
      </c>
      <c r="B93" s="145"/>
      <c r="C93" s="145"/>
      <c r="D93" s="145"/>
      <c r="E93" s="145"/>
      <c r="F93" s="145"/>
      <c r="G93" s="145"/>
      <c r="H93" s="57"/>
    </row>
    <row r="94" s="3" customFormat="1" ht="18.75" customHeight="1" spans="1:8">
      <c r="A94" s="146" t="s">
        <v>73</v>
      </c>
      <c r="B94" s="146"/>
      <c r="C94" s="146"/>
      <c r="D94" s="146"/>
      <c r="E94" s="146"/>
      <c r="F94" s="146"/>
      <c r="G94" s="146"/>
      <c r="H94" s="147"/>
    </row>
    <row r="95" s="4" customFormat="1" ht="39" customHeight="1" spans="1:8">
      <c r="A95" s="148" t="s">
        <v>74</v>
      </c>
      <c r="B95" s="148"/>
      <c r="C95" s="148"/>
      <c r="D95" s="148"/>
      <c r="E95" s="148"/>
      <c r="F95" s="148"/>
      <c r="G95" s="148"/>
      <c r="H95" s="149"/>
    </row>
    <row r="96" s="4" customFormat="1" ht="21" customHeight="1" spans="1:8">
      <c r="A96" s="148" t="s">
        <v>75</v>
      </c>
      <c r="B96" s="148"/>
      <c r="C96" s="148"/>
      <c r="D96" s="148"/>
      <c r="E96" s="148"/>
      <c r="F96" s="148"/>
      <c r="G96" s="148"/>
      <c r="H96" s="149"/>
    </row>
    <row r="97" s="4" customFormat="1" ht="53.25" customHeight="1" spans="1:8">
      <c r="A97" s="148" t="s">
        <v>76</v>
      </c>
      <c r="B97" s="148"/>
      <c r="C97" s="148"/>
      <c r="D97" s="148"/>
      <c r="E97" s="148"/>
      <c r="F97" s="148"/>
      <c r="G97" s="148"/>
      <c r="H97" s="149"/>
    </row>
    <row r="98" spans="3:7">
      <c r="C98" s="150"/>
      <c r="D98" s="150"/>
      <c r="E98" s="150"/>
      <c r="F98" s="150"/>
      <c r="G98" s="150"/>
    </row>
    <row r="99" ht="243" customHeight="1" spans="1:7">
      <c r="A99" s="151" t="s">
        <v>77</v>
      </c>
      <c r="B99" s="152"/>
      <c r="C99" s="152"/>
      <c r="D99" s="152"/>
      <c r="E99" s="152"/>
      <c r="F99" s="152"/>
      <c r="G99" s="152"/>
    </row>
  </sheetData>
  <sheetProtection password="CE28" sheet="1" objects="1"/>
  <mergeCells count="19">
    <mergeCell ref="A4:D4"/>
    <mergeCell ref="A5:D5"/>
    <mergeCell ref="A6:D6"/>
    <mergeCell ref="A7:D7"/>
    <mergeCell ref="A39:D39"/>
    <mergeCell ref="A40:D40"/>
    <mergeCell ref="A41:D41"/>
    <mergeCell ref="A77:D77"/>
    <mergeCell ref="A78:D78"/>
    <mergeCell ref="A79:D79"/>
    <mergeCell ref="B91:C91"/>
    <mergeCell ref="A93:G93"/>
    <mergeCell ref="A94:G94"/>
    <mergeCell ref="A95:G95"/>
    <mergeCell ref="A96:G96"/>
    <mergeCell ref="A97:G97"/>
    <mergeCell ref="A99:G99"/>
    <mergeCell ref="F58:F62"/>
    <mergeCell ref="G58:G62"/>
  </mergeCells>
  <pageMargins left="0.7" right="0.7" top="0.75" bottom="0.75" header="0.3" footer="0.3"/>
  <pageSetup paperSize="9" scale="55" orientation="portrait" horizontalDpi="180" verticalDpi="180"/>
  <headerFooter/>
  <rowBreaks count="2" manualBreakCount="2">
    <brk id="37" max="6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основной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79282</cp:lastModifiedBy>
  <dcterms:created xsi:type="dcterms:W3CDTF">2006-09-28T05:33:00Z</dcterms:created>
  <dcterms:modified xsi:type="dcterms:W3CDTF">2024-06-11T12:00:14Z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1049-12.2.0.16909</vt:lpwstr>
  </property>
  <property fmtid="{D5CDD505-2E9C-101B-9397-08002B2CF9AE}" pid="3" name="ICV">
    <vt:lpwstr>A99333F60E8E4E7B80B1062D68446427</vt:lpwstr>
  </property>
</Properties>
</file>