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/>
  </bookViews>
  <sheets>
    <sheet name="повыш с 1.07.15 индекс от прежн" sheetId="8" r:id="rId1"/>
  </sheets>
  <definedNames>
    <definedName name="_xlnm.Print_Area" localSheetId="0">'повыш с 1.07.15 индекс от прежн'!$A$1:$E$105</definedName>
  </definedNames>
  <calcPr calcId="152511"/>
</workbook>
</file>

<file path=xl/calcChain.xml><?xml version="1.0" encoding="utf-8"?>
<calcChain xmlns="http://schemas.openxmlformats.org/spreadsheetml/2006/main">
  <c r="F96" i="8" l="1"/>
  <c r="C79" i="8"/>
  <c r="D79" i="8" s="1"/>
  <c r="C83" i="8"/>
  <c r="C82" i="8" s="1"/>
  <c r="D82" i="8" s="1"/>
  <c r="C84" i="8"/>
  <c r="D95" i="8"/>
  <c r="E68" i="8" l="1"/>
  <c r="G68" i="8"/>
  <c r="E67" i="8"/>
  <c r="E66" i="8"/>
  <c r="F68" i="8"/>
  <c r="F33" i="8"/>
  <c r="D14" i="8"/>
  <c r="D21" i="8"/>
  <c r="D19" i="8"/>
  <c r="D18" i="8"/>
  <c r="D13" i="8"/>
  <c r="D10" i="8"/>
  <c r="D59" i="8"/>
  <c r="D57" i="8"/>
  <c r="D54" i="8"/>
  <c r="D44" i="8"/>
  <c r="C94" i="8"/>
  <c r="C93" i="8"/>
  <c r="C92" i="8"/>
  <c r="C91" i="8"/>
  <c r="C90" i="8"/>
  <c r="C88" i="8"/>
  <c r="C87" i="8"/>
  <c r="C86" i="8"/>
  <c r="C85" i="8"/>
  <c r="C81" i="8"/>
  <c r="C80" i="8"/>
  <c r="C78" i="8"/>
  <c r="C65" i="8"/>
  <c r="C63" i="8"/>
  <c r="C62" i="8"/>
  <c r="C61" i="8"/>
  <c r="C59" i="8"/>
  <c r="C60" i="8"/>
  <c r="C54" i="8"/>
  <c r="C49" i="8"/>
  <c r="C42" i="8"/>
  <c r="C57" i="8"/>
  <c r="C56" i="8"/>
  <c r="C55" i="8"/>
  <c r="C53" i="8"/>
  <c r="C51" i="8"/>
  <c r="C50" i="8"/>
  <c r="C48" i="8"/>
  <c r="C46" i="8"/>
  <c r="C45" i="8"/>
  <c r="C44" i="8"/>
  <c r="C43" i="8"/>
  <c r="C41" i="8"/>
  <c r="C33" i="8"/>
  <c r="C32" i="8"/>
  <c r="C30" i="8"/>
  <c r="C28" i="8"/>
  <c r="C27" i="8"/>
  <c r="C26" i="8"/>
  <c r="C25" i="8"/>
  <c r="C24" i="8"/>
  <c r="C22" i="8"/>
  <c r="C21" i="8"/>
  <c r="C20" i="8"/>
  <c r="C19" i="8"/>
  <c r="C18" i="8"/>
  <c r="C17" i="8"/>
  <c r="C16" i="8"/>
  <c r="C15" i="8"/>
  <c r="C13" i="8"/>
  <c r="C12" i="8"/>
  <c r="C11" i="8"/>
  <c r="C10" i="8"/>
  <c r="C9" i="8"/>
  <c r="D22" i="8" l="1"/>
  <c r="D20" i="8"/>
  <c r="D17" i="8"/>
  <c r="D16" i="8"/>
  <c r="D15" i="8"/>
  <c r="D12" i="8"/>
  <c r="D11" i="8"/>
  <c r="D9" i="8"/>
  <c r="D8" i="8" l="1"/>
  <c r="C8" i="8"/>
  <c r="C14" i="8"/>
  <c r="D70" i="8" l="1"/>
  <c r="B70" i="8"/>
  <c r="D94" i="8" l="1"/>
  <c r="D93" i="8"/>
  <c r="D92" i="8"/>
  <c r="D91" i="8"/>
  <c r="D90" i="8"/>
  <c r="C89" i="8"/>
  <c r="D89" i="8" s="1"/>
  <c r="D88" i="8"/>
  <c r="D87" i="8"/>
  <c r="D86" i="8"/>
  <c r="D85" i="8"/>
  <c r="D84" i="8"/>
  <c r="D83" i="8"/>
  <c r="D81" i="8"/>
  <c r="D80" i="8"/>
  <c r="D78" i="8"/>
  <c r="C77" i="8"/>
  <c r="D65" i="8"/>
  <c r="D64" i="8" s="1"/>
  <c r="C64" i="8"/>
  <c r="D63" i="8"/>
  <c r="D62" i="8"/>
  <c r="D61" i="8"/>
  <c r="D60" i="8"/>
  <c r="C58" i="8"/>
  <c r="D58" i="8" s="1"/>
  <c r="D56" i="8"/>
  <c r="D55" i="8"/>
  <c r="D53" i="8"/>
  <c r="C52" i="8"/>
  <c r="D52" i="8" s="1"/>
  <c r="D51" i="8"/>
  <c r="D50" i="8"/>
  <c r="D49" i="8"/>
  <c r="D48" i="8"/>
  <c r="C47" i="8"/>
  <c r="D47" i="8" s="1"/>
  <c r="D46" i="8"/>
  <c r="D45" i="8"/>
  <c r="D43" i="8"/>
  <c r="D42" i="8"/>
  <c r="D41" i="8"/>
  <c r="C40" i="8"/>
  <c r="D30" i="8"/>
  <c r="D29" i="8" s="1"/>
  <c r="C29" i="8"/>
  <c r="D28" i="8"/>
  <c r="D27" i="8"/>
  <c r="D26" i="8"/>
  <c r="D25" i="8"/>
  <c r="D24" i="8"/>
  <c r="C23" i="8"/>
  <c r="D23" i="8" s="1"/>
  <c r="D77" i="8" l="1"/>
  <c r="D96" i="8" s="1"/>
  <c r="C96" i="8"/>
  <c r="C31" i="8"/>
  <c r="D31" i="8" s="1"/>
  <c r="D40" i="8"/>
  <c r="C66" i="8"/>
  <c r="D66" i="8" s="1"/>
  <c r="C67" i="8"/>
  <c r="D67" i="8" s="1"/>
  <c r="E103" i="8" l="1"/>
  <c r="D103" i="8"/>
  <c r="D32" i="8"/>
  <c r="C68" i="8"/>
  <c r="D68" i="8"/>
  <c r="D33" i="8" l="1"/>
  <c r="E102" i="8" s="1"/>
  <c r="D102" i="8" l="1"/>
</calcChain>
</file>

<file path=xl/sharedStrings.xml><?xml version="1.0" encoding="utf-8"?>
<sst xmlns="http://schemas.openxmlformats.org/spreadsheetml/2006/main" count="133" uniqueCount="76">
  <si>
    <t>Итого по разделам 1-6</t>
  </si>
  <si>
    <t>КАЛЬКУЛЯЦИЯ</t>
  </si>
  <si>
    <t>Наименование статей</t>
  </si>
  <si>
    <t>Затраты в месяц на всю площадь, руб.</t>
  </si>
  <si>
    <t>Затраты в месяц на 1 м2 , руб.</t>
  </si>
  <si>
    <t>1.</t>
  </si>
  <si>
    <t>Технические осмотры и обходы жилых домов. Подготовка жилых зданий к сезонной эксплуатации. Мероприятия по пожарной безопасности.</t>
  </si>
  <si>
    <t>1. Оплата труда рабочих, выполняющих осмотры и техническое обслуживание жилых знадний</t>
  </si>
  <si>
    <t>2. Страховые взносы 20,3%</t>
  </si>
  <si>
    <t>3. Затраты на материалы</t>
  </si>
  <si>
    <t>4. Прочие расходы</t>
  </si>
  <si>
    <t>2.</t>
  </si>
  <si>
    <t>Техническое обслуживание внутридомовых сетей электроснабжения</t>
  </si>
  <si>
    <t>3.</t>
  </si>
  <si>
    <t>Благоустройство и обеспечение санитарного состояния жилых зданий и придомовой территориии.</t>
  </si>
  <si>
    <t>1. Оплата труда рабочих, занятых обслуживанием жилых домов и придомовой территории.</t>
  </si>
  <si>
    <t>3. Услуги сторонних организаций</t>
  </si>
  <si>
    <t>4. Вывоз основной массы не бытового мусора и дворового смета</t>
  </si>
  <si>
    <t>5. Содержание и обустройство контейнерных площадок для сбора ТБО</t>
  </si>
  <si>
    <t>6. Транспортные расходы</t>
  </si>
  <si>
    <t>7. Прочие расходы</t>
  </si>
  <si>
    <t>4.</t>
  </si>
  <si>
    <t>Техническое обслуживание внутридомовых газовых сетей.</t>
  </si>
  <si>
    <t>5.</t>
  </si>
  <si>
    <t>Общеэксплуатационные расходы</t>
  </si>
  <si>
    <t>1. Оплата труда работников</t>
  </si>
  <si>
    <t>3. Амортизационные отчисления</t>
  </si>
  <si>
    <t>4. Содержание конторских и хоз.помещений</t>
  </si>
  <si>
    <t>5. Прочие расходы</t>
  </si>
  <si>
    <t>6.</t>
  </si>
  <si>
    <t>Прочие прямые затраты</t>
  </si>
  <si>
    <t>1. Сборы и отчисления</t>
  </si>
  <si>
    <t xml:space="preserve">7. </t>
  </si>
  <si>
    <t>Рентабельность  (5%)</t>
  </si>
  <si>
    <t>ИТОГО РАСХОДОВ</t>
  </si>
  <si>
    <t>Текущий ремонт конструктивных элементов жилых зданий</t>
  </si>
  <si>
    <t>1. Оплата труда рабочих</t>
  </si>
  <si>
    <t>2. Страховые взносы  20,3%</t>
  </si>
  <si>
    <t>4. Транспортные расходы</t>
  </si>
  <si>
    <t>Ремонт внутридомовых сетей электроснабжения, общедомовых приборов учета электрической энергии</t>
  </si>
  <si>
    <t>Ремонт внутридомового инженерного оборудования водопровдных и канализационных сетей, общедомовых приборов учета холодной воды</t>
  </si>
  <si>
    <t>Рентабельность</t>
  </si>
  <si>
    <t>1. Содержание и ремонт жилых помещений</t>
  </si>
  <si>
    <t>3. Водоснабжение, водоотведение</t>
  </si>
  <si>
    <t>4. Энергоснабжение</t>
  </si>
  <si>
    <t>Претензионная работа</t>
  </si>
  <si>
    <t xml:space="preserve">         * Всего муниципального жилищного фонда составляет 116474 м2, калькуляция рассчитана на площадь муниципального жилищного фонда, учтенная при выборе средних (преобладающих) условий - 86980 м2</t>
  </si>
  <si>
    <t xml:space="preserve">Кроме того, по тарифу утвержденному местными органами власти:** </t>
  </si>
  <si>
    <t>2. Центральное отопление</t>
  </si>
  <si>
    <t>Аварийно-диспетчерское обслуживание</t>
  </si>
  <si>
    <r>
      <t xml:space="preserve">на экономически обоснованный тариф по </t>
    </r>
    <r>
      <rPr>
        <b/>
        <u/>
        <sz val="12"/>
        <rFont val="Times New Roman"/>
        <family val="1"/>
        <charset val="204"/>
      </rPr>
      <t>управлению</t>
    </r>
  </si>
  <si>
    <r>
      <t xml:space="preserve">на экономически обоснованный тариф по </t>
    </r>
    <r>
      <rPr>
        <b/>
        <u/>
        <sz val="12"/>
        <rFont val="Times New Roman"/>
        <family val="1"/>
        <charset val="204"/>
      </rPr>
      <t>текущему ремонту</t>
    </r>
  </si>
  <si>
    <r>
      <t xml:space="preserve">на экономически обоснованный тариф по </t>
    </r>
    <r>
      <rPr>
        <b/>
        <u/>
        <sz val="12"/>
        <rFont val="Times New Roman"/>
        <family val="1"/>
        <charset val="204"/>
      </rPr>
      <t>содержанию</t>
    </r>
  </si>
  <si>
    <t>ТБО</t>
  </si>
  <si>
    <t>УУТЭ</t>
  </si>
  <si>
    <t>Сод, тек.р, управл.</t>
  </si>
  <si>
    <t>Примечание</t>
  </si>
  <si>
    <t>№</t>
  </si>
  <si>
    <t>АУП управляющей организации (предоставление ЖКУ)</t>
  </si>
  <si>
    <t>Всего:</t>
  </si>
  <si>
    <t>Первичный регистрационный учет (услуги паспортиста и др.)</t>
  </si>
  <si>
    <t>Услуги по начислению, доставке платежных документов, учету платежей, ведение электр.базы, всего:</t>
  </si>
  <si>
    <t xml:space="preserve"> жилья на 1 м2 общей площади в месяц</t>
  </si>
  <si>
    <t xml:space="preserve"> на 1 м2 общей площади в месяц</t>
  </si>
  <si>
    <t>Приложение</t>
  </si>
  <si>
    <t>Услуги по сборам платежей (платежные агенты и т.п. по сбору платежей с населения), всего:</t>
  </si>
  <si>
    <t>на 2 полугодие 2015г с 01.07.2015г по 30.06.2016г</t>
  </si>
  <si>
    <t>Общая площадь* м2</t>
  </si>
  <si>
    <t>**Для МКЖД с АГВ, полностью без центр. отопления, п.4 калькуляции не применяется</t>
  </si>
  <si>
    <t>Всего:**</t>
  </si>
  <si>
    <r>
      <t xml:space="preserve">/  Размер платы за обслуживание и ремонт общедомовых приборов учета тепловой энергии для многоквартирных домов, оборудованных общедомовыми приборами учета тепловой энергии: - </t>
    </r>
    <r>
      <rPr>
        <b/>
        <sz val="13"/>
        <rFont val="Times New Roman"/>
        <family val="1"/>
        <charset val="204"/>
      </rPr>
      <t>0,92 рублей за 1 кв.м</t>
    </r>
  </si>
  <si>
    <r>
      <t xml:space="preserve">// Сбор, вывоз и утилизация твердых бытовых отходов (ТБО): - </t>
    </r>
    <r>
      <rPr>
        <b/>
        <sz val="13"/>
        <rFont val="Times New Roman"/>
        <family val="1"/>
        <charset val="204"/>
      </rPr>
      <t>2,51 рублей за 1 кв.м.</t>
    </r>
  </si>
  <si>
    <r>
      <t>Ремонт внутридомовой разводки центрального отопления</t>
    </r>
    <r>
      <rPr>
        <b/>
        <sz val="14"/>
        <color indexed="8"/>
        <rFont val="Times New Roman"/>
        <family val="1"/>
        <charset val="204"/>
      </rPr>
      <t>**</t>
    </r>
  </si>
  <si>
    <t>Затраты в месяц на 1 м2, руб.</t>
  </si>
  <si>
    <t>7.</t>
  </si>
  <si>
    <t>Организация учета потребления и контроля качества поставляемых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</si>
</sst>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3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Border="1"/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Border="1" applyAlignment="1">
      <alignment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4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5" fillId="0" borderId="1" xfId="0" applyFont="1" applyBorder="1"/>
    <xf numFmtId="0" fontId="18" fillId="0" borderId="0" xfId="0" applyFont="1"/>
    <xf numFmtId="2" fontId="19" fillId="0" borderId="1" xfId="0" applyNumberFormat="1" applyFont="1" applyBorder="1"/>
    <xf numFmtId="2" fontId="15" fillId="0" borderId="1" xfId="0" applyNumberFormat="1" applyFont="1" applyBorder="1"/>
    <xf numFmtId="0" fontId="9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/>
    <xf numFmtId="2" fontId="9" fillId="0" borderId="0" xfId="0" applyNumberFormat="1" applyFont="1" applyBorder="1"/>
    <xf numFmtId="2" fontId="12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/>
    <xf numFmtId="2" fontId="2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/>
    <xf numFmtId="0" fontId="2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5" fillId="0" borderId="3" xfId="0" applyFont="1" applyBorder="1"/>
    <xf numFmtId="2" fontId="19" fillId="0" borderId="3" xfId="0" applyNumberFormat="1" applyFont="1" applyBorder="1"/>
    <xf numFmtId="0" fontId="1" fillId="0" borderId="5" xfId="0" applyFont="1" applyBorder="1" applyAlignment="1">
      <alignment horizontal="center" vertical="center"/>
    </xf>
    <xf numFmtId="0" fontId="3" fillId="0" borderId="4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2" fillId="0" borderId="4" xfId="0" applyFont="1" applyBorder="1" applyAlignment="1">
      <alignment horizontal="right" vertical="center"/>
    </xf>
    <xf numFmtId="0" fontId="23" fillId="0" borderId="0" xfId="0" applyFont="1"/>
    <xf numFmtId="0" fontId="9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left" vertical="center"/>
    </xf>
    <xf numFmtId="2" fontId="25" fillId="0" borderId="1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2" fontId="2" fillId="0" borderId="1" xfId="0" applyNumberFormat="1" applyFont="1" applyFill="1" applyBorder="1"/>
    <xf numFmtId="2" fontId="26" fillId="0" borderId="3" xfId="0" applyNumberFormat="1" applyFont="1" applyBorder="1"/>
    <xf numFmtId="2" fontId="27" fillId="0" borderId="1" xfId="0" applyNumberFormat="1" applyFont="1" applyBorder="1"/>
    <xf numFmtId="2" fontId="26" fillId="0" borderId="1" xfId="0" applyNumberFormat="1" applyFont="1" applyBorder="1"/>
    <xf numFmtId="2" fontId="26" fillId="0" borderId="1" xfId="0" applyNumberFormat="1" applyFont="1" applyBorder="1" applyAlignment="1">
      <alignment horizontal="right" vertical="center"/>
    </xf>
    <xf numFmtId="2" fontId="26" fillId="0" borderId="1" xfId="0" applyNumberFormat="1" applyFont="1" applyBorder="1" applyAlignment="1">
      <alignment horizontal="right"/>
    </xf>
    <xf numFmtId="2" fontId="26" fillId="0" borderId="1" xfId="0" applyNumberFormat="1" applyFont="1" applyFill="1" applyBorder="1"/>
    <xf numFmtId="2" fontId="23" fillId="0" borderId="1" xfId="0" applyNumberFormat="1" applyFont="1" applyBorder="1"/>
    <xf numFmtId="2" fontId="22" fillId="0" borderId="1" xfId="0" applyNumberFormat="1" applyFont="1" applyBorder="1"/>
    <xf numFmtId="2" fontId="28" fillId="0" borderId="1" xfId="0" applyNumberFormat="1" applyFont="1" applyBorder="1"/>
    <xf numFmtId="0" fontId="29" fillId="0" borderId="0" xfId="0" applyFont="1"/>
    <xf numFmtId="0" fontId="30" fillId="0" borderId="4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2" fontId="31" fillId="0" borderId="4" xfId="0" applyNumberFormat="1" applyFont="1" applyBorder="1"/>
    <xf numFmtId="2" fontId="30" fillId="0" borderId="0" xfId="0" applyNumberFormat="1" applyFont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/>
    <xf numFmtId="0" fontId="32" fillId="0" borderId="0" xfId="0" applyFont="1" applyAlignment="1">
      <alignment horizontal="right"/>
    </xf>
    <xf numFmtId="0" fontId="32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wrapText="1"/>
    </xf>
    <xf numFmtId="0" fontId="17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05"/>
  <sheetViews>
    <sheetView tabSelected="1" view="pageBreakPreview" topLeftCell="A7" zoomScaleNormal="80" zoomScaleSheetLayoutView="100" workbookViewId="0">
      <selection activeCell="B88" sqref="B88"/>
    </sheetView>
  </sheetViews>
  <sheetFormatPr defaultRowHeight="15" x14ac:dyDescent="0.25"/>
  <cols>
    <col min="1" max="1" width="4" customWidth="1"/>
    <col min="2" max="2" width="75.7109375" customWidth="1"/>
    <col min="3" max="3" width="22.28515625" customWidth="1"/>
    <col min="4" max="4" width="16.85546875" customWidth="1"/>
    <col min="5" max="5" width="17.7109375" customWidth="1"/>
    <col min="6" max="6" width="15" customWidth="1"/>
  </cols>
  <sheetData>
    <row r="1" spans="1:6" s="11" customFormat="1" ht="18.75" x14ac:dyDescent="0.3">
      <c r="A1" s="10"/>
      <c r="B1" s="86" t="s">
        <v>66</v>
      </c>
      <c r="C1" s="86"/>
      <c r="D1" s="12" t="s">
        <v>64</v>
      </c>
      <c r="E1" s="12"/>
    </row>
    <row r="2" spans="1:6" s="11" customFormat="1" ht="18.75" x14ac:dyDescent="0.3">
      <c r="A2" s="10"/>
      <c r="B2" s="59"/>
      <c r="C2" s="59"/>
      <c r="D2" s="12"/>
      <c r="E2" s="12"/>
    </row>
    <row r="3" spans="1:6" s="11" customFormat="1" ht="15.75" x14ac:dyDescent="0.25">
      <c r="A3" s="88" t="s">
        <v>1</v>
      </c>
      <c r="B3" s="88"/>
      <c r="C3" s="88"/>
      <c r="D3" s="88"/>
      <c r="E3" s="58"/>
    </row>
    <row r="4" spans="1:6" s="11" customFormat="1" ht="15.75" x14ac:dyDescent="0.25">
      <c r="A4" s="88" t="s">
        <v>52</v>
      </c>
      <c r="B4" s="88"/>
      <c r="C4" s="88"/>
      <c r="D4" s="88"/>
      <c r="E4" s="58"/>
    </row>
    <row r="5" spans="1:6" s="10" customFormat="1" ht="15.75" customHeight="1" x14ac:dyDescent="0.3">
      <c r="A5" s="88" t="s">
        <v>62</v>
      </c>
      <c r="B5" s="88"/>
      <c r="C5" s="88"/>
      <c r="D5" s="88"/>
      <c r="E5" s="58"/>
    </row>
    <row r="6" spans="1:6" ht="15.75" thickBot="1" x14ac:dyDescent="0.3">
      <c r="A6" s="50"/>
      <c r="C6" s="40" t="s">
        <v>67</v>
      </c>
      <c r="D6" s="60">
        <v>86980</v>
      </c>
      <c r="E6" s="15"/>
    </row>
    <row r="7" spans="1:6" ht="42.75" customHeight="1" thickTop="1" thickBot="1" x14ac:dyDescent="0.3">
      <c r="A7" s="53" t="s">
        <v>57</v>
      </c>
      <c r="B7" s="53" t="s">
        <v>2</v>
      </c>
      <c r="C7" s="54" t="s">
        <v>3</v>
      </c>
      <c r="D7" s="54" t="s">
        <v>4</v>
      </c>
      <c r="E7" s="30"/>
    </row>
    <row r="8" spans="1:6" ht="34.5" customHeight="1" thickTop="1" x14ac:dyDescent="0.25">
      <c r="A8" s="51" t="s">
        <v>5</v>
      </c>
      <c r="B8" s="52" t="s">
        <v>6</v>
      </c>
      <c r="C8" s="67">
        <f>C9+C10+C11+C12</f>
        <v>95904.155424000011</v>
      </c>
      <c r="D8" s="67">
        <f>D9+D10+D11+D12</f>
        <v>1.1026000853529547</v>
      </c>
      <c r="E8" s="31"/>
      <c r="F8" s="9"/>
    </row>
    <row r="9" spans="1:6" ht="27" customHeight="1" x14ac:dyDescent="0.25">
      <c r="A9" s="16"/>
      <c r="B9" s="18" t="s">
        <v>7</v>
      </c>
      <c r="C9" s="68">
        <f>66912.96*1.05</f>
        <v>70258.608000000007</v>
      </c>
      <c r="D9" s="68">
        <f t="shared" ref="D9:D22" si="0">C9/86980</f>
        <v>0.80775589790756508</v>
      </c>
      <c r="E9" s="32"/>
    </row>
    <row r="10" spans="1:6" ht="14.25" customHeight="1" x14ac:dyDescent="0.25">
      <c r="A10" s="16"/>
      <c r="B10" s="18" t="s">
        <v>8</v>
      </c>
      <c r="C10" s="68">
        <f>C9*20.3/100</f>
        <v>14262.497424000001</v>
      </c>
      <c r="D10" s="68">
        <f>C10/86980</f>
        <v>0.16397444727523569</v>
      </c>
      <c r="E10" s="32"/>
    </row>
    <row r="11" spans="1:6" ht="14.25" customHeight="1" x14ac:dyDescent="0.25">
      <c r="A11" s="16"/>
      <c r="B11" s="18" t="s">
        <v>9</v>
      </c>
      <c r="C11" s="68">
        <f>9200*1.05</f>
        <v>9660</v>
      </c>
      <c r="D11" s="68">
        <f t="shared" si="0"/>
        <v>0.111060013796275</v>
      </c>
      <c r="E11" s="32"/>
    </row>
    <row r="12" spans="1:6" ht="14.25" customHeight="1" x14ac:dyDescent="0.25">
      <c r="A12" s="16"/>
      <c r="B12" s="18" t="s">
        <v>10</v>
      </c>
      <c r="C12" s="68">
        <f>1641*1.05</f>
        <v>1723.0500000000002</v>
      </c>
      <c r="D12" s="68">
        <f t="shared" si="0"/>
        <v>1.9809726373879056E-2</v>
      </c>
      <c r="E12" s="32"/>
    </row>
    <row r="13" spans="1:6" ht="22.5" customHeight="1" x14ac:dyDescent="0.25">
      <c r="A13" s="16" t="s">
        <v>11</v>
      </c>
      <c r="B13" s="17" t="s">
        <v>12</v>
      </c>
      <c r="C13" s="69">
        <f>16853.49*1.05</f>
        <v>17696.164500000003</v>
      </c>
      <c r="D13" s="69">
        <f>C13/86980</f>
        <v>0.20345095999080251</v>
      </c>
      <c r="E13" s="31"/>
    </row>
    <row r="14" spans="1:6" ht="28.5" customHeight="1" x14ac:dyDescent="0.25">
      <c r="A14" s="16" t="s">
        <v>13</v>
      </c>
      <c r="B14" s="17" t="s">
        <v>14</v>
      </c>
      <c r="C14" s="69">
        <f>C15+C16+C17+C18+C19+C20+C21</f>
        <v>224017.02573600004</v>
      </c>
      <c r="D14" s="72">
        <f>C14/86980</f>
        <v>2.5755004108530701</v>
      </c>
      <c r="E14" s="31"/>
    </row>
    <row r="15" spans="1:6" ht="28.5" customHeight="1" x14ac:dyDescent="0.25">
      <c r="A15" s="16"/>
      <c r="B15" s="18" t="s">
        <v>15</v>
      </c>
      <c r="C15" s="68">
        <f>89653.44*1.05</f>
        <v>94136.112000000008</v>
      </c>
      <c r="D15" s="68">
        <f>C15/86980</f>
        <v>1.0822730742699471</v>
      </c>
      <c r="E15" s="32"/>
    </row>
    <row r="16" spans="1:6" ht="15.75" customHeight="1" x14ac:dyDescent="0.25">
      <c r="A16" s="16"/>
      <c r="B16" s="18" t="s">
        <v>8</v>
      </c>
      <c r="C16" s="68">
        <f>C15*20.3/100</f>
        <v>19109.630736000003</v>
      </c>
      <c r="D16" s="68">
        <f t="shared" si="0"/>
        <v>0.21970143407679929</v>
      </c>
      <c r="E16" s="32"/>
    </row>
    <row r="17" spans="1:5" ht="15.75" customHeight="1" x14ac:dyDescent="0.25">
      <c r="A17" s="16"/>
      <c r="B17" s="18" t="s">
        <v>16</v>
      </c>
      <c r="C17" s="68">
        <f>16890*1.05</f>
        <v>17734.5</v>
      </c>
      <c r="D17" s="68">
        <f t="shared" si="0"/>
        <v>0.20389169924120487</v>
      </c>
      <c r="E17" s="32"/>
    </row>
    <row r="18" spans="1:5" ht="15.75" customHeight="1" x14ac:dyDescent="0.25">
      <c r="A18" s="16"/>
      <c r="B18" s="62" t="s">
        <v>17</v>
      </c>
      <c r="C18" s="68">
        <f>30060.8*1.05</f>
        <v>31563.84</v>
      </c>
      <c r="D18" s="69">
        <f>C18/86980</f>
        <v>0.3628861807312026</v>
      </c>
      <c r="E18" s="32"/>
    </row>
    <row r="19" spans="1:5" ht="15.75" customHeight="1" x14ac:dyDescent="0.25">
      <c r="A19" s="16"/>
      <c r="B19" s="18" t="s">
        <v>18</v>
      </c>
      <c r="C19" s="68">
        <f>21381.48*1.05</f>
        <v>22450.554</v>
      </c>
      <c r="D19" s="68">
        <f>C19/86980</f>
        <v>0.25811168084617153</v>
      </c>
      <c r="E19" s="32"/>
    </row>
    <row r="20" spans="1:5" ht="15.75" customHeight="1" x14ac:dyDescent="0.25">
      <c r="A20" s="16"/>
      <c r="B20" s="18" t="s">
        <v>19</v>
      </c>
      <c r="C20" s="68">
        <f>30228.85*1.05</f>
        <v>31740.2925</v>
      </c>
      <c r="D20" s="68">
        <f t="shared" si="0"/>
        <v>0.3649148367440791</v>
      </c>
      <c r="E20" s="32"/>
    </row>
    <row r="21" spans="1:5" ht="15.75" customHeight="1" x14ac:dyDescent="0.25">
      <c r="A21" s="16"/>
      <c r="B21" s="18" t="s">
        <v>20</v>
      </c>
      <c r="C21" s="68">
        <f>6935.33*1.05</f>
        <v>7282.0965000000006</v>
      </c>
      <c r="D21" s="68">
        <f>C21/86980</f>
        <v>8.3721504943665218E-2</v>
      </c>
      <c r="E21" s="32"/>
    </row>
    <row r="22" spans="1:5" ht="22.5" customHeight="1" x14ac:dyDescent="0.25">
      <c r="A22" s="19" t="s">
        <v>21</v>
      </c>
      <c r="B22" s="17" t="s">
        <v>22</v>
      </c>
      <c r="C22" s="69">
        <f>17885.9*1.05</f>
        <v>18780.195000000003</v>
      </c>
      <c r="D22" s="69">
        <f t="shared" si="0"/>
        <v>0.21591394573465167</v>
      </c>
      <c r="E22" s="31"/>
    </row>
    <row r="23" spans="1:5" ht="20.25" customHeight="1" x14ac:dyDescent="0.25">
      <c r="A23" s="16" t="s">
        <v>23</v>
      </c>
      <c r="B23" s="17" t="s">
        <v>24</v>
      </c>
      <c r="C23" s="69">
        <f>C24+C25+C26+C27+C28</f>
        <v>38770.105500000005</v>
      </c>
      <c r="D23" s="69">
        <f>C23/86980</f>
        <v>0.44573586456656711</v>
      </c>
      <c r="E23" s="31"/>
    </row>
    <row r="24" spans="1:5" ht="16.5" customHeight="1" x14ac:dyDescent="0.25">
      <c r="A24" s="16"/>
      <c r="B24" s="18" t="s">
        <v>25</v>
      </c>
      <c r="C24" s="73">
        <f>22920.96*1.05</f>
        <v>24067.008000000002</v>
      </c>
      <c r="D24" s="68">
        <f t="shared" ref="D24:D32" si="1">C24/86980</f>
        <v>0.27669588411128998</v>
      </c>
      <c r="E24" s="32"/>
    </row>
    <row r="25" spans="1:5" ht="16.5" customHeight="1" x14ac:dyDescent="0.25">
      <c r="A25" s="16"/>
      <c r="B25" s="18" t="s">
        <v>8</v>
      </c>
      <c r="C25" s="68">
        <f>4652.95*1.05</f>
        <v>4885.5974999999999</v>
      </c>
      <c r="D25" s="68">
        <f t="shared" si="1"/>
        <v>5.6169205564497587E-2</v>
      </c>
      <c r="E25" s="32"/>
    </row>
    <row r="26" spans="1:5" ht="16.5" customHeight="1" x14ac:dyDescent="0.25">
      <c r="A26" s="16"/>
      <c r="B26" s="18" t="s">
        <v>26</v>
      </c>
      <c r="C26" s="68">
        <f>1500*1.05</f>
        <v>1575</v>
      </c>
      <c r="D26" s="68">
        <f t="shared" si="1"/>
        <v>1.8107610945044837E-2</v>
      </c>
      <c r="E26" s="32"/>
    </row>
    <row r="27" spans="1:5" ht="16.5" customHeight="1" x14ac:dyDescent="0.25">
      <c r="A27" s="16"/>
      <c r="B27" s="18" t="s">
        <v>27</v>
      </c>
      <c r="C27" s="68">
        <f>5200*1.05</f>
        <v>5460</v>
      </c>
      <c r="D27" s="68">
        <f t="shared" si="1"/>
        <v>6.2773051276155442E-2</v>
      </c>
      <c r="E27" s="32"/>
    </row>
    <row r="28" spans="1:5" ht="16.5" customHeight="1" x14ac:dyDescent="0.25">
      <c r="A28" s="16"/>
      <c r="B28" s="18" t="s">
        <v>28</v>
      </c>
      <c r="C28" s="68">
        <f>2650*1.05</f>
        <v>2782.5</v>
      </c>
      <c r="D28" s="68">
        <f t="shared" si="1"/>
        <v>3.1990112669579213E-2</v>
      </c>
      <c r="E28" s="32"/>
    </row>
    <row r="29" spans="1:5" ht="20.25" customHeight="1" x14ac:dyDescent="0.25">
      <c r="A29" s="16" t="s">
        <v>29</v>
      </c>
      <c r="B29" s="17" t="s">
        <v>30</v>
      </c>
      <c r="C29" s="69">
        <f>C30</f>
        <v>5540.43</v>
      </c>
      <c r="D29" s="69">
        <f>D30</f>
        <v>6.3697746608415734E-2</v>
      </c>
      <c r="E29" s="31"/>
    </row>
    <row r="30" spans="1:5" ht="15.75" customHeight="1" x14ac:dyDescent="0.25">
      <c r="A30" s="20"/>
      <c r="B30" s="18" t="s">
        <v>31</v>
      </c>
      <c r="C30" s="68">
        <f>5276.6*1.05</f>
        <v>5540.43</v>
      </c>
      <c r="D30" s="68">
        <f>C30/86980</f>
        <v>6.3697746608415734E-2</v>
      </c>
      <c r="E30" s="32"/>
    </row>
    <row r="31" spans="1:5" ht="23.25" customHeight="1" x14ac:dyDescent="0.25">
      <c r="A31" s="20"/>
      <c r="B31" s="17" t="s">
        <v>0</v>
      </c>
      <c r="C31" s="69">
        <f>C8+C13+C14+C23+C22+C29</f>
        <v>400708.07616000006</v>
      </c>
      <c r="D31" s="69">
        <f>C31/86980</f>
        <v>4.606899013106462</v>
      </c>
      <c r="E31" s="31"/>
    </row>
    <row r="32" spans="1:5" ht="16.5" x14ac:dyDescent="0.25">
      <c r="A32" s="16" t="s">
        <v>32</v>
      </c>
      <c r="B32" s="21" t="s">
        <v>33</v>
      </c>
      <c r="C32" s="70">
        <f>C31*5/100</f>
        <v>20035.403808000003</v>
      </c>
      <c r="D32" s="71">
        <f t="shared" si="1"/>
        <v>0.23034495065532309</v>
      </c>
      <c r="E32" s="33"/>
    </row>
    <row r="33" spans="1:6" ht="24.75" customHeight="1" x14ac:dyDescent="0.25">
      <c r="A33" s="22"/>
      <c r="B33" s="63" t="s">
        <v>34</v>
      </c>
      <c r="C33" s="64">
        <f>C31+C32</f>
        <v>420743.47996800009</v>
      </c>
      <c r="D33" s="64">
        <f>C33/86980</f>
        <v>4.837243963761785</v>
      </c>
      <c r="E33" s="34"/>
      <c r="F33">
        <f>1.1+0.2+2.58+0.22+0.45+0.06+0.23</f>
        <v>4.84</v>
      </c>
    </row>
    <row r="34" spans="1:6" ht="9.75" customHeight="1" x14ac:dyDescent="0.3">
      <c r="A34" s="10"/>
      <c r="B34" s="10"/>
      <c r="C34" s="10"/>
      <c r="D34" s="12"/>
      <c r="E34" s="12"/>
    </row>
    <row r="35" spans="1:6" ht="15.75" x14ac:dyDescent="0.25">
      <c r="A35" s="88" t="s">
        <v>1</v>
      </c>
      <c r="B35" s="88"/>
      <c r="C35" s="88"/>
      <c r="D35" s="88"/>
      <c r="E35" s="58"/>
    </row>
    <row r="36" spans="1:6" ht="15.75" x14ac:dyDescent="0.25">
      <c r="A36" s="88" t="s">
        <v>51</v>
      </c>
      <c r="B36" s="88"/>
      <c r="C36" s="88"/>
      <c r="D36" s="88"/>
      <c r="E36" s="58"/>
    </row>
    <row r="37" spans="1:6" ht="15.75" x14ac:dyDescent="0.25">
      <c r="A37" s="88" t="s">
        <v>62</v>
      </c>
      <c r="B37" s="88"/>
      <c r="C37" s="88"/>
      <c r="D37" s="88"/>
      <c r="E37" s="58"/>
    </row>
    <row r="38" spans="1:6" ht="16.5" thickBot="1" x14ac:dyDescent="0.3">
      <c r="A38" s="39"/>
      <c r="B38" s="39"/>
      <c r="C38" s="40" t="s">
        <v>67</v>
      </c>
      <c r="D38" s="60">
        <v>86980</v>
      </c>
      <c r="E38" s="41"/>
    </row>
    <row r="39" spans="1:6" ht="27" thickTop="1" thickBot="1" x14ac:dyDescent="0.3">
      <c r="A39" s="44" t="s">
        <v>57</v>
      </c>
      <c r="B39" s="44" t="s">
        <v>2</v>
      </c>
      <c r="C39" s="45" t="s">
        <v>3</v>
      </c>
      <c r="D39" s="45" t="s">
        <v>4</v>
      </c>
      <c r="E39" s="45" t="s">
        <v>56</v>
      </c>
    </row>
    <row r="40" spans="1:6" ht="17.25" customHeight="1" thickTop="1" x14ac:dyDescent="0.25">
      <c r="A40" s="42" t="s">
        <v>5</v>
      </c>
      <c r="B40" s="43" t="s">
        <v>35</v>
      </c>
      <c r="C40" s="67">
        <f>C41+C42+C43+C44+C45</f>
        <v>172651.46186400001</v>
      </c>
      <c r="D40" s="67">
        <f>D41+D42+D43+D44+D45</f>
        <v>1.9849558733501955</v>
      </c>
      <c r="E40" s="35"/>
    </row>
    <row r="41" spans="1:6" ht="17.25" customHeight="1" x14ac:dyDescent="0.25">
      <c r="A41" s="1"/>
      <c r="B41" s="3" t="s">
        <v>36</v>
      </c>
      <c r="C41" s="68">
        <f>82930.56*1.05</f>
        <v>87077.088000000003</v>
      </c>
      <c r="D41" s="68">
        <f t="shared" ref="D41:D63" si="2">C41/86980</f>
        <v>1.0011162106231317</v>
      </c>
      <c r="E41" s="36"/>
    </row>
    <row r="42" spans="1:6" ht="17.25" customHeight="1" x14ac:dyDescent="0.25">
      <c r="A42" s="1"/>
      <c r="B42" s="3" t="s">
        <v>37</v>
      </c>
      <c r="C42" s="68">
        <f>C41*20.3/100</f>
        <v>17676.648864000003</v>
      </c>
      <c r="D42" s="68">
        <f t="shared" si="2"/>
        <v>0.20322659075649577</v>
      </c>
      <c r="E42" s="36"/>
    </row>
    <row r="43" spans="1:6" ht="17.25" customHeight="1" x14ac:dyDescent="0.25">
      <c r="A43" s="1"/>
      <c r="B43" s="3" t="s">
        <v>9</v>
      </c>
      <c r="C43" s="68">
        <f>52035.7*1.05</f>
        <v>54637.485000000001</v>
      </c>
      <c r="D43" s="68">
        <f t="shared" si="2"/>
        <v>0.62816147390204646</v>
      </c>
      <c r="E43" s="36"/>
    </row>
    <row r="44" spans="1:6" ht="17.25" customHeight="1" x14ac:dyDescent="0.25">
      <c r="A44" s="1"/>
      <c r="B44" s="3" t="s">
        <v>38</v>
      </c>
      <c r="C44" s="68">
        <f>9928.8*1.05</f>
        <v>10425.24</v>
      </c>
      <c r="D44" s="68">
        <f>C44/86980</f>
        <v>0.11985789836744079</v>
      </c>
      <c r="E44" s="36"/>
    </row>
    <row r="45" spans="1:6" ht="17.25" customHeight="1" x14ac:dyDescent="0.25">
      <c r="A45" s="1"/>
      <c r="B45" s="3" t="s">
        <v>28</v>
      </c>
      <c r="C45" s="68">
        <f>2700*1.05</f>
        <v>2835</v>
      </c>
      <c r="D45" s="68">
        <f t="shared" si="2"/>
        <v>3.2593699701080711E-2</v>
      </c>
      <c r="E45" s="36"/>
    </row>
    <row r="46" spans="1:6" ht="28.5" customHeight="1" x14ac:dyDescent="0.25">
      <c r="A46" s="1" t="s">
        <v>11</v>
      </c>
      <c r="B46" s="2" t="s">
        <v>39</v>
      </c>
      <c r="C46" s="69">
        <f>15521.27*1.05</f>
        <v>16297.333500000001</v>
      </c>
      <c r="D46" s="69">
        <f t="shared" si="2"/>
        <v>0.18736874568866407</v>
      </c>
      <c r="E46" s="35"/>
    </row>
    <row r="47" spans="1:6" ht="33" customHeight="1" x14ac:dyDescent="0.25">
      <c r="A47" s="1" t="s">
        <v>13</v>
      </c>
      <c r="B47" s="2" t="s">
        <v>40</v>
      </c>
      <c r="C47" s="69">
        <f>C48+C49+C50+C51</f>
        <v>98859.245856000009</v>
      </c>
      <c r="D47" s="69">
        <f>C47/86980</f>
        <v>1.1365744522418948</v>
      </c>
      <c r="E47" s="35"/>
    </row>
    <row r="48" spans="1:6" ht="15.75" customHeight="1" x14ac:dyDescent="0.25">
      <c r="A48" s="1"/>
      <c r="B48" s="3" t="s">
        <v>36</v>
      </c>
      <c r="C48" s="68">
        <f>63258.24*1.05</f>
        <v>66421.152000000002</v>
      </c>
      <c r="D48" s="68">
        <f>C48/86980</f>
        <v>0.76363706599218217</v>
      </c>
      <c r="E48" s="36"/>
    </row>
    <row r="49" spans="1:5" ht="15.75" customHeight="1" x14ac:dyDescent="0.25">
      <c r="A49" s="1"/>
      <c r="B49" s="3" t="s">
        <v>8</v>
      </c>
      <c r="C49" s="68">
        <f>C48*20.3/100</f>
        <v>13483.493856000001</v>
      </c>
      <c r="D49" s="68">
        <f>C49/86980</f>
        <v>0.15501832439641297</v>
      </c>
      <c r="E49" s="36"/>
    </row>
    <row r="50" spans="1:5" ht="15.75" customHeight="1" x14ac:dyDescent="0.25">
      <c r="A50" s="1"/>
      <c r="B50" s="3" t="s">
        <v>9</v>
      </c>
      <c r="C50" s="68">
        <f>16032*1.05</f>
        <v>16833.600000000002</v>
      </c>
      <c r="D50" s="68">
        <f>C50/86980</f>
        <v>0.19353414578063927</v>
      </c>
      <c r="E50" s="36"/>
    </row>
    <row r="51" spans="1:5" ht="15.75" customHeight="1" x14ac:dyDescent="0.25">
      <c r="A51" s="1"/>
      <c r="B51" s="3" t="s">
        <v>10</v>
      </c>
      <c r="C51" s="68">
        <f>2020*1.05</f>
        <v>2121</v>
      </c>
      <c r="D51" s="68">
        <f>C51/86980</f>
        <v>2.4384916072660381E-2</v>
      </c>
      <c r="E51" s="36"/>
    </row>
    <row r="52" spans="1:5" ht="24" customHeight="1" x14ac:dyDescent="0.3">
      <c r="A52" s="1" t="s">
        <v>21</v>
      </c>
      <c r="B52" s="2" t="s">
        <v>72</v>
      </c>
      <c r="C52" s="69">
        <f>C53+C54+C55+C56+C57</f>
        <v>178429.96264800002</v>
      </c>
      <c r="D52" s="69">
        <f t="shared" si="2"/>
        <v>2.0513906949643599</v>
      </c>
      <c r="E52" s="85" t="s">
        <v>68</v>
      </c>
    </row>
    <row r="53" spans="1:5" ht="15.75" customHeight="1" x14ac:dyDescent="0.25">
      <c r="A53" s="1"/>
      <c r="B53" s="3" t="s">
        <v>36</v>
      </c>
      <c r="C53" s="68">
        <f>70657.92*1.05</f>
        <v>74190.816000000006</v>
      </c>
      <c r="D53" s="68">
        <f t="shared" si="2"/>
        <v>0.85296408369740173</v>
      </c>
      <c r="E53" s="85"/>
    </row>
    <row r="54" spans="1:5" ht="15.75" customHeight="1" x14ac:dyDescent="0.25">
      <c r="A54" s="1"/>
      <c r="B54" s="3" t="s">
        <v>8</v>
      </c>
      <c r="C54" s="68">
        <f>C53*20.3/100</f>
        <v>15060.735648000003</v>
      </c>
      <c r="D54" s="68">
        <f>C54/86980</f>
        <v>0.17315170899057258</v>
      </c>
      <c r="E54" s="85"/>
    </row>
    <row r="55" spans="1:5" ht="15.75" customHeight="1" x14ac:dyDescent="0.25">
      <c r="A55" s="1"/>
      <c r="B55" s="3" t="s">
        <v>9</v>
      </c>
      <c r="C55" s="68">
        <f>41700*1.05</f>
        <v>43785</v>
      </c>
      <c r="D55" s="68">
        <f t="shared" si="2"/>
        <v>0.50339158427224651</v>
      </c>
      <c r="E55" s="85"/>
    </row>
    <row r="56" spans="1:5" ht="15.75" customHeight="1" x14ac:dyDescent="0.25">
      <c r="A56" s="1"/>
      <c r="B56" s="3" t="s">
        <v>38</v>
      </c>
      <c r="C56" s="68">
        <f>41031.82*1.05</f>
        <v>43083.411</v>
      </c>
      <c r="D56" s="68">
        <f t="shared" si="2"/>
        <v>0.49532548861807313</v>
      </c>
      <c r="E56" s="85"/>
    </row>
    <row r="57" spans="1:5" ht="15.75" customHeight="1" x14ac:dyDescent="0.25">
      <c r="A57" s="1"/>
      <c r="B57" s="3" t="s">
        <v>28</v>
      </c>
      <c r="C57" s="68">
        <f>2200*1.05</f>
        <v>2310</v>
      </c>
      <c r="D57" s="68">
        <f>C57/86980</f>
        <v>2.6557829386065761E-2</v>
      </c>
      <c r="E57" s="85"/>
    </row>
    <row r="58" spans="1:5" ht="17.25" customHeight="1" x14ac:dyDescent="0.25">
      <c r="A58" s="1" t="s">
        <v>23</v>
      </c>
      <c r="B58" s="2" t="s">
        <v>24</v>
      </c>
      <c r="C58" s="69">
        <f>C59+C60+C61+C62+C63</f>
        <v>41613.878124000003</v>
      </c>
      <c r="D58" s="69">
        <f t="shared" si="2"/>
        <v>0.47843042221200277</v>
      </c>
      <c r="E58" s="35"/>
    </row>
    <row r="59" spans="1:5" ht="13.5" customHeight="1" x14ac:dyDescent="0.25">
      <c r="A59" s="1"/>
      <c r="B59" s="3" t="s">
        <v>36</v>
      </c>
      <c r="C59" s="68">
        <f>22920.96*1.05</f>
        <v>24067.008000000002</v>
      </c>
      <c r="D59" s="68">
        <f>C59/86980</f>
        <v>0.27669588411128998</v>
      </c>
      <c r="E59" s="36"/>
    </row>
    <row r="60" spans="1:5" ht="13.5" customHeight="1" x14ac:dyDescent="0.25">
      <c r="A60" s="1"/>
      <c r="B60" s="3" t="s">
        <v>37</v>
      </c>
      <c r="C60" s="68">
        <f>C59*20.3/100</f>
        <v>4885.602624000001</v>
      </c>
      <c r="D60" s="68">
        <f t="shared" si="2"/>
        <v>5.6169264474591869E-2</v>
      </c>
      <c r="E60" s="36"/>
    </row>
    <row r="61" spans="1:5" ht="13.5" customHeight="1" x14ac:dyDescent="0.25">
      <c r="A61" s="1"/>
      <c r="B61" s="3" t="s">
        <v>26</v>
      </c>
      <c r="C61" s="68">
        <f>2278.35*1.05</f>
        <v>2392.2674999999999</v>
      </c>
      <c r="D61" s="68">
        <f t="shared" si="2"/>
        <v>2.7503650264428605E-2</v>
      </c>
      <c r="E61" s="36"/>
    </row>
    <row r="62" spans="1:5" ht="13.5" customHeight="1" x14ac:dyDescent="0.25">
      <c r="A62" s="1"/>
      <c r="B62" s="3" t="s">
        <v>27</v>
      </c>
      <c r="C62" s="68">
        <f>7780*1.05</f>
        <v>8169</v>
      </c>
      <c r="D62" s="68">
        <f t="shared" si="2"/>
        <v>9.391814210163256E-2</v>
      </c>
      <c r="E62" s="36"/>
    </row>
    <row r="63" spans="1:5" ht="13.5" customHeight="1" x14ac:dyDescent="0.25">
      <c r="A63" s="1"/>
      <c r="B63" s="3" t="s">
        <v>28</v>
      </c>
      <c r="C63" s="68">
        <f>2000*1.05</f>
        <v>2100</v>
      </c>
      <c r="D63" s="68">
        <f t="shared" si="2"/>
        <v>2.4143481260059784E-2</v>
      </c>
      <c r="E63" s="36"/>
    </row>
    <row r="64" spans="1:5" ht="19.5" customHeight="1" x14ac:dyDescent="0.25">
      <c r="A64" s="1" t="s">
        <v>29</v>
      </c>
      <c r="B64" s="2" t="s">
        <v>30</v>
      </c>
      <c r="C64" s="69">
        <f>C65</f>
        <v>5103</v>
      </c>
      <c r="D64" s="69">
        <f>D65</f>
        <v>5.8668659461945272E-2</v>
      </c>
      <c r="E64" s="35"/>
    </row>
    <row r="65" spans="1:7" ht="18.75" customHeight="1" x14ac:dyDescent="0.25">
      <c r="A65" s="5"/>
      <c r="B65" s="3" t="s">
        <v>31</v>
      </c>
      <c r="C65" s="68">
        <f>4860*1.05</f>
        <v>5103</v>
      </c>
      <c r="D65" s="68">
        <f>C65/86980</f>
        <v>5.8668659461945272E-2</v>
      </c>
      <c r="E65" s="36"/>
    </row>
    <row r="66" spans="1:7" ht="20.25" customHeight="1" x14ac:dyDescent="0.25">
      <c r="A66" s="5"/>
      <c r="B66" s="2" t="s">
        <v>0</v>
      </c>
      <c r="C66" s="69">
        <f>C40+C46+C47+C52+C58+C64</f>
        <v>512954.88199199998</v>
      </c>
      <c r="D66" s="69">
        <f>C66/86980</f>
        <v>5.8973888479190615</v>
      </c>
      <c r="E66" s="69">
        <f>D40+D46+D47+D58+D64</f>
        <v>3.845998152954702</v>
      </c>
    </row>
    <row r="67" spans="1:7" ht="24.75" customHeight="1" x14ac:dyDescent="0.25">
      <c r="A67" s="1" t="s">
        <v>32</v>
      </c>
      <c r="B67" s="6" t="s">
        <v>41</v>
      </c>
      <c r="C67" s="70">
        <f>(C40+C46+C47+C52+C58+C64)*5/100</f>
        <v>25647.744099599997</v>
      </c>
      <c r="D67" s="71">
        <f>C67/86980</f>
        <v>0.29486944239595303</v>
      </c>
      <c r="E67" s="71">
        <f>E66*5%</f>
        <v>0.19229990764773511</v>
      </c>
    </row>
    <row r="68" spans="1:7" ht="24.75" customHeight="1" x14ac:dyDescent="0.25">
      <c r="A68" s="7"/>
      <c r="B68" s="63" t="s">
        <v>34</v>
      </c>
      <c r="C68" s="64">
        <f>C40+C46+C47+C52+C58+C64+C67</f>
        <v>538602.62609159993</v>
      </c>
      <c r="D68" s="64">
        <f>D40+D46+D47+D52+D58+D64+D67</f>
        <v>6.1922582903150145</v>
      </c>
      <c r="E68" s="64">
        <f>E66+E67</f>
        <v>4.038298060602437</v>
      </c>
      <c r="F68" s="9">
        <f>1.98+0.19+1.14+2.05+0.48+0.06+0.29</f>
        <v>6.1899999999999995</v>
      </c>
      <c r="G68">
        <f>1.98+0.19+1.14+0.48+0.06+0.19</f>
        <v>4.04</v>
      </c>
    </row>
    <row r="69" spans="1:7" ht="10.5" customHeight="1" x14ac:dyDescent="0.25"/>
    <row r="70" spans="1:7" ht="21" customHeight="1" x14ac:dyDescent="0.25">
      <c r="B70" s="86" t="str">
        <f>B1</f>
        <v>на 2 полугодие 2015г с 01.07.2015г по 30.06.2016г</v>
      </c>
      <c r="C70" s="86"/>
      <c r="D70" s="55" t="str">
        <f>D1</f>
        <v>Приложение</v>
      </c>
    </row>
    <row r="71" spans="1:7" ht="17.25" customHeight="1" x14ac:dyDescent="0.25">
      <c r="B71" s="59"/>
      <c r="C71" s="59"/>
      <c r="D71" s="55"/>
    </row>
    <row r="72" spans="1:7" ht="15.75" x14ac:dyDescent="0.25">
      <c r="A72" s="88" t="s">
        <v>1</v>
      </c>
      <c r="B72" s="88"/>
      <c r="C72" s="88"/>
      <c r="D72" s="88"/>
      <c r="E72" s="58"/>
    </row>
    <row r="73" spans="1:7" ht="15.75" x14ac:dyDescent="0.25">
      <c r="A73" s="88" t="s">
        <v>50</v>
      </c>
      <c r="B73" s="88"/>
      <c r="C73" s="88"/>
      <c r="D73" s="88"/>
      <c r="E73" s="58"/>
    </row>
    <row r="74" spans="1:7" ht="15.75" x14ac:dyDescent="0.25">
      <c r="A74" s="88" t="s">
        <v>63</v>
      </c>
      <c r="B74" s="88"/>
      <c r="C74" s="88"/>
      <c r="D74" s="88"/>
      <c r="E74" s="58"/>
    </row>
    <row r="75" spans="1:7" ht="19.5" thickBot="1" x14ac:dyDescent="0.35">
      <c r="A75" s="46"/>
      <c r="B75" s="46"/>
      <c r="C75" s="40" t="s">
        <v>67</v>
      </c>
      <c r="D75" s="60">
        <v>86980</v>
      </c>
      <c r="E75" s="15"/>
    </row>
    <row r="76" spans="1:7" ht="55.5" customHeight="1" thickTop="1" thickBot="1" x14ac:dyDescent="0.3">
      <c r="A76" s="49" t="s">
        <v>57</v>
      </c>
      <c r="B76" s="49" t="s">
        <v>2</v>
      </c>
      <c r="C76" s="65" t="s">
        <v>3</v>
      </c>
      <c r="D76" s="65" t="s">
        <v>73</v>
      </c>
      <c r="E76" s="37"/>
    </row>
    <row r="77" spans="1:7" ht="38.25" customHeight="1" thickTop="1" x14ac:dyDescent="0.3">
      <c r="A77" s="47" t="s">
        <v>5</v>
      </c>
      <c r="B77" s="25" t="s">
        <v>65</v>
      </c>
      <c r="C77" s="47">
        <f>C78+C79+C80+C81</f>
        <v>85712.55</v>
      </c>
      <c r="D77" s="48">
        <f>C77/86980</f>
        <v>0.98542825936997014</v>
      </c>
      <c r="E77" s="38"/>
    </row>
    <row r="78" spans="1:7" ht="15.75" customHeight="1" x14ac:dyDescent="0.3">
      <c r="A78" s="23"/>
      <c r="B78" s="26" t="s">
        <v>42</v>
      </c>
      <c r="C78" s="26">
        <f>15656.4*1.05</f>
        <v>16439.22</v>
      </c>
      <c r="D78" s="4">
        <f t="shared" ref="D78:D81" si="3">C78/86980</f>
        <v>0.189</v>
      </c>
      <c r="E78" s="36"/>
    </row>
    <row r="79" spans="1:7" ht="15.75" customHeight="1" x14ac:dyDescent="0.3">
      <c r="A79" s="23"/>
      <c r="B79" s="26" t="s">
        <v>48</v>
      </c>
      <c r="C79" s="26">
        <f>33792*1.05</f>
        <v>35481.599999999999</v>
      </c>
      <c r="D79" s="66">
        <f>C79/86980</f>
        <v>0.40792825936997007</v>
      </c>
      <c r="E79" s="36"/>
    </row>
    <row r="80" spans="1:7" ht="15.75" customHeight="1" x14ac:dyDescent="0.3">
      <c r="A80" s="23"/>
      <c r="B80" s="26" t="s">
        <v>43</v>
      </c>
      <c r="C80" s="26">
        <f>18265.8*1.05</f>
        <v>19179.09</v>
      </c>
      <c r="D80" s="4">
        <f t="shared" si="3"/>
        <v>0.2205</v>
      </c>
      <c r="E80" s="36"/>
    </row>
    <row r="81" spans="1:6" ht="15.75" customHeight="1" x14ac:dyDescent="0.3">
      <c r="A81" s="23"/>
      <c r="B81" s="26" t="s">
        <v>44</v>
      </c>
      <c r="C81" s="26">
        <f>13916.8*1.05</f>
        <v>14612.64</v>
      </c>
      <c r="D81" s="4">
        <f t="shared" si="3"/>
        <v>0.16799999999999998</v>
      </c>
      <c r="E81" s="36"/>
    </row>
    <row r="82" spans="1:6" ht="37.5" x14ac:dyDescent="0.3">
      <c r="A82" s="24" t="s">
        <v>11</v>
      </c>
      <c r="B82" s="25" t="s">
        <v>61</v>
      </c>
      <c r="C82" s="24">
        <f>C83+C84+C85+C86</f>
        <v>143889.69000000003</v>
      </c>
      <c r="D82" s="28">
        <f>C82/86980</f>
        <v>1.6542847781099106</v>
      </c>
      <c r="E82" s="38"/>
    </row>
    <row r="83" spans="1:6" ht="14.25" customHeight="1" x14ac:dyDescent="0.3">
      <c r="A83" s="23"/>
      <c r="B83" s="26" t="s">
        <v>42</v>
      </c>
      <c r="C83" s="26">
        <f>43359.8*1.05</f>
        <v>45527.790000000008</v>
      </c>
      <c r="D83" s="4">
        <f t="shared" ref="D83:D86" si="4">C83/86980</f>
        <v>0.52342825936997017</v>
      </c>
      <c r="E83" s="36"/>
    </row>
    <row r="84" spans="1:6" ht="14.25" customHeight="1" x14ac:dyDescent="0.3">
      <c r="A84" s="23"/>
      <c r="B84" s="26" t="s">
        <v>48</v>
      </c>
      <c r="C84" s="26">
        <f>43229.6*1.05</f>
        <v>45391.08</v>
      </c>
      <c r="D84" s="4">
        <f t="shared" si="4"/>
        <v>0.52185651873994021</v>
      </c>
      <c r="E84" s="36"/>
    </row>
    <row r="85" spans="1:6" ht="14.25" customHeight="1" x14ac:dyDescent="0.3">
      <c r="A85" s="23"/>
      <c r="B85" s="26" t="s">
        <v>43</v>
      </c>
      <c r="C85" s="26">
        <f>24354.4*1.05</f>
        <v>25572.120000000003</v>
      </c>
      <c r="D85" s="4">
        <f>C85/86980</f>
        <v>0.29400000000000004</v>
      </c>
      <c r="E85" s="36"/>
    </row>
    <row r="86" spans="1:6" ht="14.25" customHeight="1" x14ac:dyDescent="0.3">
      <c r="A86" s="23"/>
      <c r="B86" s="26" t="s">
        <v>44</v>
      </c>
      <c r="C86" s="26">
        <f>26094*1.05</f>
        <v>27398.7</v>
      </c>
      <c r="D86" s="4">
        <f t="shared" si="4"/>
        <v>0.315</v>
      </c>
      <c r="E86" s="36"/>
    </row>
    <row r="87" spans="1:6" ht="18.75" x14ac:dyDescent="0.3">
      <c r="A87" s="24" t="s">
        <v>13</v>
      </c>
      <c r="B87" s="24" t="s">
        <v>58</v>
      </c>
      <c r="C87" s="24">
        <f>36531.6*1.05</f>
        <v>38358.18</v>
      </c>
      <c r="D87" s="28">
        <f>C87/86980</f>
        <v>0.441</v>
      </c>
      <c r="E87" s="38"/>
    </row>
    <row r="88" spans="1:6" ht="18.75" x14ac:dyDescent="0.3">
      <c r="A88" s="24" t="s">
        <v>21</v>
      </c>
      <c r="B88" s="24" t="s">
        <v>49</v>
      </c>
      <c r="C88" s="29">
        <f>14786.6*1.05</f>
        <v>15525.93</v>
      </c>
      <c r="D88" s="28">
        <f>C88/86980</f>
        <v>0.17849999999999999</v>
      </c>
      <c r="E88" s="38"/>
    </row>
    <row r="89" spans="1:6" ht="18.75" x14ac:dyDescent="0.3">
      <c r="A89" s="24" t="s">
        <v>23</v>
      </c>
      <c r="B89" s="24" t="s">
        <v>45</v>
      </c>
      <c r="C89" s="24">
        <f>C90+C91+C92+C93</f>
        <v>21005.670000000002</v>
      </c>
      <c r="D89" s="28">
        <f>C89/86980</f>
        <v>0.24150000000000002</v>
      </c>
      <c r="E89" s="38"/>
    </row>
    <row r="90" spans="1:6" ht="15.75" customHeight="1" x14ac:dyDescent="0.3">
      <c r="A90" s="23"/>
      <c r="B90" s="26" t="s">
        <v>42</v>
      </c>
      <c r="C90" s="26">
        <f>6088.6*1.05</f>
        <v>6393.0300000000007</v>
      </c>
      <c r="D90" s="4">
        <f t="shared" ref="D90:D93" si="5">C90/86980</f>
        <v>7.350000000000001E-2</v>
      </c>
      <c r="E90" s="36"/>
    </row>
    <row r="91" spans="1:6" ht="15.75" customHeight="1" x14ac:dyDescent="0.3">
      <c r="A91" s="23"/>
      <c r="B91" s="26" t="s">
        <v>48</v>
      </c>
      <c r="C91" s="26">
        <f>5218.8*1.05</f>
        <v>5479.7400000000007</v>
      </c>
      <c r="D91" s="4">
        <f t="shared" si="5"/>
        <v>6.3000000000000014E-2</v>
      </c>
      <c r="E91" s="36"/>
    </row>
    <row r="92" spans="1:6" ht="15.75" customHeight="1" x14ac:dyDescent="0.3">
      <c r="A92" s="23"/>
      <c r="B92" s="26" t="s">
        <v>43</v>
      </c>
      <c r="C92" s="26">
        <f>3479.2*1.05</f>
        <v>3653.16</v>
      </c>
      <c r="D92" s="4">
        <f t="shared" si="5"/>
        <v>4.1999999999999996E-2</v>
      </c>
      <c r="E92" s="36"/>
    </row>
    <row r="93" spans="1:6" ht="15.75" customHeight="1" x14ac:dyDescent="0.3">
      <c r="A93" s="23"/>
      <c r="B93" s="26" t="s">
        <v>44</v>
      </c>
      <c r="C93" s="26">
        <f>5218.8*1.05</f>
        <v>5479.7400000000007</v>
      </c>
      <c r="D93" s="4">
        <f t="shared" si="5"/>
        <v>6.3000000000000014E-2</v>
      </c>
      <c r="E93" s="36"/>
    </row>
    <row r="94" spans="1:6" ht="33" customHeight="1" x14ac:dyDescent="0.3">
      <c r="A94" s="24" t="s">
        <v>29</v>
      </c>
      <c r="B94" s="25" t="s">
        <v>60</v>
      </c>
      <c r="C94" s="24">
        <f>14786.6*1.05</f>
        <v>15525.93</v>
      </c>
      <c r="D94" s="28">
        <f>C94/86980</f>
        <v>0.17849999999999999</v>
      </c>
      <c r="E94" s="38"/>
    </row>
    <row r="95" spans="1:6" ht="33" customHeight="1" x14ac:dyDescent="0.3">
      <c r="A95" s="24" t="s">
        <v>74</v>
      </c>
      <c r="B95" s="25" t="s">
        <v>75</v>
      </c>
      <c r="C95" s="24">
        <v>3842.11</v>
      </c>
      <c r="D95" s="28">
        <f>C95/86980</f>
        <v>4.4172338468613473E-2</v>
      </c>
      <c r="E95" s="38"/>
    </row>
    <row r="96" spans="1:6" ht="28.5" customHeight="1" x14ac:dyDescent="0.35">
      <c r="A96" s="24"/>
      <c r="B96" s="24" t="s">
        <v>34</v>
      </c>
      <c r="C96" s="74">
        <f>C77+C82+C87+C89+C94+C88+C95</f>
        <v>323860.06</v>
      </c>
      <c r="D96" s="75">
        <f>D77+D82+D87+D89+D94+D88+D95</f>
        <v>3.7233853759484945</v>
      </c>
      <c r="E96" s="38"/>
      <c r="F96">
        <f>0.99+1.65+0.44+0.18+0.24+0.18+0.04</f>
        <v>3.72</v>
      </c>
    </row>
    <row r="97" spans="1:5" ht="30" customHeight="1" x14ac:dyDescent="0.25">
      <c r="A97" s="89" t="s">
        <v>46</v>
      </c>
      <c r="B97" s="89"/>
      <c r="C97" s="89"/>
      <c r="D97" s="89"/>
      <c r="E97" s="14"/>
    </row>
    <row r="98" spans="1:5" s="27" customFormat="1" ht="16.5" customHeight="1" x14ac:dyDescent="0.3">
      <c r="A98" s="90" t="s">
        <v>47</v>
      </c>
      <c r="B98" s="90"/>
      <c r="C98" s="90"/>
      <c r="D98" s="90"/>
      <c r="E98" s="56"/>
    </row>
    <row r="99" spans="1:5" s="11" customFormat="1" ht="34.5" customHeight="1" x14ac:dyDescent="0.25">
      <c r="A99" s="87" t="s">
        <v>70</v>
      </c>
      <c r="B99" s="87"/>
      <c r="C99" s="87"/>
      <c r="D99" s="87"/>
      <c r="E99" s="57"/>
    </row>
    <row r="100" spans="1:5" s="11" customFormat="1" ht="16.5" x14ac:dyDescent="0.25">
      <c r="A100" s="61" t="s">
        <v>71</v>
      </c>
      <c r="B100" s="13"/>
      <c r="C100" s="13"/>
    </row>
    <row r="101" spans="1:5" s="11" customFormat="1" ht="19.5" thickBot="1" x14ac:dyDescent="0.35">
      <c r="A101" s="61"/>
      <c r="B101" s="13"/>
      <c r="C101" s="76"/>
      <c r="D101" s="77" t="s">
        <v>59</v>
      </c>
      <c r="E101" s="77" t="s">
        <v>69</v>
      </c>
    </row>
    <row r="102" spans="1:5" ht="20.25" thickTop="1" thickBot="1" x14ac:dyDescent="0.35">
      <c r="A102" s="8"/>
      <c r="B102" s="8"/>
      <c r="C102" s="78"/>
      <c r="D102" s="79">
        <f>D103+D104+D105</f>
        <v>18.182887630025295</v>
      </c>
      <c r="E102" s="79">
        <f>E103+E104+E105</f>
        <v>15.108927400312716</v>
      </c>
    </row>
    <row r="103" spans="1:5" ht="19.5" thickTop="1" x14ac:dyDescent="0.3">
      <c r="A103" s="8"/>
      <c r="B103" s="8"/>
      <c r="C103" s="78" t="s">
        <v>55</v>
      </c>
      <c r="D103" s="80">
        <f>D33+D68+D96</f>
        <v>14.752887630025294</v>
      </c>
      <c r="E103" s="80">
        <f>D33+E68+D96</f>
        <v>12.598927400312716</v>
      </c>
    </row>
    <row r="104" spans="1:5" ht="15.75" x14ac:dyDescent="0.25">
      <c r="A104" s="8"/>
      <c r="B104" s="8"/>
      <c r="C104" s="81" t="s">
        <v>53</v>
      </c>
      <c r="D104" s="82">
        <v>2.5099999999999998</v>
      </c>
      <c r="E104" s="82">
        <v>2.5099999999999998</v>
      </c>
    </row>
    <row r="105" spans="1:5" ht="15.75" x14ac:dyDescent="0.25">
      <c r="C105" s="83" t="s">
        <v>54</v>
      </c>
      <c r="D105" s="84">
        <v>0.92</v>
      </c>
      <c r="E105" s="84">
        <v>0</v>
      </c>
    </row>
  </sheetData>
  <mergeCells count="15">
    <mergeCell ref="E52:E57"/>
    <mergeCell ref="B1:C1"/>
    <mergeCell ref="B70:C70"/>
    <mergeCell ref="A99:D99"/>
    <mergeCell ref="A3:D3"/>
    <mergeCell ref="A4:D4"/>
    <mergeCell ref="A5:D5"/>
    <mergeCell ref="A35:D35"/>
    <mergeCell ref="A36:D36"/>
    <mergeCell ref="A37:D37"/>
    <mergeCell ref="A72:D72"/>
    <mergeCell ref="A73:D73"/>
    <mergeCell ref="A74:D74"/>
    <mergeCell ref="A97:D97"/>
    <mergeCell ref="A98:D98"/>
  </mergeCells>
  <pageMargins left="0.7" right="0.7" top="0.75" bottom="0.75" header="0.3" footer="0.3"/>
  <pageSetup paperSize="9" scale="57" orientation="portrait" horizontalDpi="180" verticalDpi="180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повыш с 1.07.15 индекс от прежн</vt:lpstr>
      <vt:lpstr>'повыш с 1.07.15 индекс от прежн'!Область_печати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2015-06-18T07:34:52Z</dcterms:modified>
</cp:coreProperties>
</file>