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definedNames>
    <definedName name="_xlnm.Print_Titles" localSheetId="0">Лист1!$26:$26</definedName>
    <definedName name="_xlnm.Print_Area" localSheetId="0">Лист1!$A$15:$F$103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D28" authorId="0">
      <text>
        <r>
          <rPr>
            <b/>
            <sz val="9"/>
            <rFont val="Tahoma"/>
            <charset val="204"/>
          </rPr>
          <t>Автор:</t>
        </r>
        <r>
          <rPr>
            <sz val="9"/>
            <rFont val="Tahoma"/>
            <charset val="204"/>
          </rPr>
          <t xml:space="preserve">
МРОТ</t>
        </r>
      </text>
    </comment>
  </commentList>
</comments>
</file>

<file path=xl/sharedStrings.xml><?xml version="1.0" encoding="utf-8"?>
<sst xmlns="http://schemas.openxmlformats.org/spreadsheetml/2006/main" count="124" uniqueCount="49">
  <si>
    <t>Индексация тарифа на 8,17% с 01.07.24</t>
  </si>
  <si>
    <t>свод для расчета</t>
  </si>
  <si>
    <t>МРОТ</t>
  </si>
  <si>
    <t xml:space="preserve">   з/плата специалиста</t>
  </si>
  <si>
    <t>10 ПУНКТОВ В КАЛЬКУЛЯЦИИ</t>
  </si>
  <si>
    <t>Страховые взносы 30,28% (ПФ-22%, ОМС-5,1%, ФСС-2,9%, ФСС травматизм 0,28%</t>
  </si>
  <si>
    <t xml:space="preserve">   з/плата диспетчера 25% времени</t>
  </si>
  <si>
    <t>1 ПУНКТОВ В КАЛЬКУЛЯЦИИ</t>
  </si>
  <si>
    <t xml:space="preserve">   транспортные расходы на 1 автомашину   (1авт*31км*0,4л*цена ГСМ АИ 92руб*6дн)</t>
  </si>
  <si>
    <t>11 ПУНКТОВ В КАЛЬКУЛЯЦИИ</t>
  </si>
  <si>
    <t xml:space="preserve">   затраты на материалы </t>
  </si>
  <si>
    <t xml:space="preserve">   спец. инструмент (в т.ч. износ)</t>
  </si>
  <si>
    <t xml:space="preserve">   прочие расходы, налоги</t>
  </si>
  <si>
    <t>Итого:</t>
  </si>
  <si>
    <t>х</t>
  </si>
  <si>
    <t xml:space="preserve">   рентабельность 10%</t>
  </si>
  <si>
    <t>Всего тариф:</t>
  </si>
  <si>
    <t>Приложение №__3__</t>
  </si>
  <si>
    <t>Утверждено:</t>
  </si>
  <si>
    <t xml:space="preserve">Приказом ООО УК «Капиталстрой» </t>
  </si>
  <si>
    <t>№ __34__ от «__21__ » __мая______ 2024г.</t>
  </si>
  <si>
    <t>смотреть выше скрытые строки РАСЧЕТ</t>
  </si>
  <si>
    <t xml:space="preserve">Расчет экономически обоснованных затрат ООО УК «Капиталстрой» </t>
  </si>
  <si>
    <t xml:space="preserve"> по сервисному обслуживанию входного запирающего устройства домофонной системы МКЖД</t>
  </si>
  <si>
    <t>Процент повышения 8,17%</t>
  </si>
  <si>
    <t>коэффициент</t>
  </si>
  <si>
    <t>с 01.07.2024 по 30.06.2025</t>
  </si>
  <si>
    <t>Ср. кол-во (квартир):</t>
  </si>
  <si>
    <t>№ п/п</t>
  </si>
  <si>
    <t>Наименование затрат</t>
  </si>
  <si>
    <t>Кол-во человек</t>
  </si>
  <si>
    <t>Оклад, руб.и коп.</t>
  </si>
  <si>
    <t xml:space="preserve">Итого в месяц, руб. и коп. </t>
  </si>
  <si>
    <t>Итого в месяц на 1 точку, руб.и коп.</t>
  </si>
  <si>
    <t>Профилактический осмотр домофонной системы сервисным специалистом:</t>
  </si>
  <si>
    <t xml:space="preserve">   транспортные расходы на 1 автомашину   (1авт*27км*0,4л*45руб*8дн)</t>
  </si>
  <si>
    <t>Работа диспетчерской службы:</t>
  </si>
  <si>
    <t xml:space="preserve">   з/плата диспетчера</t>
  </si>
  <si>
    <t xml:space="preserve">   прочие расходы, связь., налоги</t>
  </si>
  <si>
    <t>Внешний осмотр всех составляющих частей системы:</t>
  </si>
  <si>
    <t>Техническая проверка состояния креплений и соединений узлов доводчика и крепления защитных кожухов:</t>
  </si>
  <si>
    <t>Регулировка скорости закрывания двери:</t>
  </si>
  <si>
    <t>Проверка и регулировка электронного замка:</t>
  </si>
  <si>
    <t>Очистка гнезда считывателя ключа и решетки микрофона:</t>
  </si>
  <si>
    <t>Проверка электросоединений:</t>
  </si>
  <si>
    <t>Проверка двусторонней аудиосвязи с абонентом и срабатывания кнопок дистанционного открывания двери (абонент по выбору):</t>
  </si>
  <si>
    <t>Смазка петель двери</t>
  </si>
  <si>
    <t>Выезд сервисного специалиста, в случае возникновения неполадок:</t>
  </si>
  <si>
    <t>Рентабельность 10%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</si>
</sst>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00"/>
    <numFmt numFmtId="181" formatCode="0.00_ "/>
  </numFmts>
  <fonts count="32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0"/>
      <name val="Calibri"/>
      <charset val="204"/>
      <scheme val="minor"/>
    </font>
    <font>
      <b/>
      <sz val="10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b/>
      <i/>
      <sz val="11"/>
      <color theme="1"/>
      <name val="Calibri"/>
      <charset val="204"/>
      <scheme val="minor"/>
    </font>
    <font>
      <b/>
      <i/>
      <sz val="10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204"/>
    </font>
    <font>
      <sz val="9"/>
      <name val="Tahoma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6" borderId="23" applyNumberFormat="0" applyAlignment="0" applyProtection="0">
      <alignment vertical="center"/>
    </xf>
    <xf numFmtId="0" fontId="21" fillId="6" borderId="22" applyNumberFormat="0" applyAlignment="0" applyProtection="0">
      <alignment vertical="center"/>
    </xf>
    <xf numFmtId="0" fontId="22" fillId="7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85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4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2" fontId="5" fillId="2" borderId="2" xfId="0" applyNumberFormat="1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top" wrapText="1"/>
    </xf>
    <xf numFmtId="2" fontId="5" fillId="0" borderId="7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2" fontId="5" fillId="0" borderId="8" xfId="0" applyNumberFormat="1" applyFont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180" fontId="2" fillId="0" borderId="0" xfId="0" applyNumberFormat="1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2" fontId="4" fillId="0" borderId="0" xfId="0" applyNumberFormat="1" applyFont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2" fontId="5" fillId="3" borderId="2" xfId="0" applyNumberFormat="1" applyFont="1" applyFill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2" fillId="0" borderId="0" xfId="0" applyNumberFormat="1" applyFont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top" wrapText="1"/>
    </xf>
    <xf numFmtId="2" fontId="0" fillId="0" borderId="0" xfId="0" applyNumberFormat="1"/>
    <xf numFmtId="0" fontId="0" fillId="0" borderId="11" xfId="0" applyBorder="1"/>
    <xf numFmtId="181" fontId="0" fillId="0" borderId="1" xfId="0" applyNumberFormat="1" applyBorder="1"/>
    <xf numFmtId="0" fontId="0" fillId="0" borderId="12" xfId="0" applyBorder="1"/>
    <xf numFmtId="181" fontId="0" fillId="0" borderId="13" xfId="0" applyNumberFormat="1" applyBorder="1"/>
    <xf numFmtId="181" fontId="0" fillId="0" borderId="0" xfId="0" applyNumberFormat="1"/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Border="1"/>
    <xf numFmtId="0" fontId="4" fillId="0" borderId="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center" vertical="top" wrapText="1"/>
    </xf>
    <xf numFmtId="2" fontId="8" fillId="0" borderId="15" xfId="0" applyNumberFormat="1" applyFont="1" applyBorder="1" applyAlignment="1">
      <alignment horizontal="center" vertical="top" wrapText="1"/>
    </xf>
    <xf numFmtId="2" fontId="9" fillId="0" borderId="15" xfId="0" applyNumberFormat="1" applyFont="1" applyBorder="1" applyAlignment="1">
      <alignment horizontal="center" vertical="top" wrapText="1"/>
    </xf>
    <xf numFmtId="2" fontId="8" fillId="0" borderId="16" xfId="0" applyNumberFormat="1" applyFont="1" applyFill="1" applyBorder="1" applyAlignment="1">
      <alignment horizontal="center" vertical="top" wrapText="1"/>
    </xf>
    <xf numFmtId="2" fontId="0" fillId="0" borderId="0" xfId="0" applyNumberFormat="1" applyFont="1" applyAlignment="1">
      <alignment horizontal="right" vertical="top" wrapText="1"/>
    </xf>
    <xf numFmtId="0" fontId="8" fillId="0" borderId="17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2" fontId="8" fillId="0" borderId="3" xfId="0" applyNumberFormat="1" applyFont="1" applyBorder="1" applyAlignment="1">
      <alignment horizontal="center" vertical="top" wrapText="1"/>
    </xf>
    <xf numFmtId="2" fontId="8" fillId="0" borderId="18" xfId="0" applyNumberFormat="1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2" fontId="8" fillId="0" borderId="6" xfId="0" applyNumberFormat="1" applyFont="1" applyBorder="1" applyAlignment="1">
      <alignment horizontal="center" vertical="top" wrapText="1"/>
    </xf>
    <xf numFmtId="2" fontId="8" fillId="0" borderId="7" xfId="0" applyNumberFormat="1" applyFont="1" applyBorder="1" applyAlignment="1">
      <alignment horizontal="center" vertical="top" wrapText="1"/>
    </xf>
    <xf numFmtId="181" fontId="0" fillId="0" borderId="0" xfId="0" applyNumberFormat="1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3"/>
  <sheetViews>
    <sheetView tabSelected="1" view="pageBreakPreview" zoomScaleNormal="100" workbookViewId="0">
      <pane ySplit="14" topLeftCell="A15" activePane="bottomLeft" state="frozen"/>
      <selection/>
      <selection pane="bottomLeft" activeCell="B17" sqref="B17"/>
    </sheetView>
  </sheetViews>
  <sheetFormatPr defaultColWidth="9" defaultRowHeight="14.4"/>
  <cols>
    <col min="1" max="1" width="3.85185185185185" customWidth="1"/>
    <col min="2" max="2" width="35.4259259259259" customWidth="1"/>
    <col min="3" max="4" width="13.8518518518519" customWidth="1"/>
    <col min="5" max="5" width="15.4259259259259" customWidth="1"/>
    <col min="6" max="6" width="15.712962962963" customWidth="1"/>
    <col min="7" max="7" width="15.712962962963" hidden="1" customWidth="1"/>
    <col min="8" max="8" width="9.13888888888889" hidden="1" customWidth="1"/>
    <col min="9" max="9" width="13.5740740740741" hidden="1" customWidth="1"/>
    <col min="10" max="10" width="9.13888888888889" hidden="1" customWidth="1"/>
    <col min="11" max="11" width="10.6666666666667" customWidth="1"/>
  </cols>
  <sheetData>
    <row r="1" ht="15.15" hidden="1" spans="8:8">
      <c r="H1" s="3" t="s">
        <v>0</v>
      </c>
    </row>
    <row r="2" s="1" customFormat="1" ht="24" hidden="1" customHeight="1" spans="1:8">
      <c r="A2" s="5"/>
      <c r="B2" s="5" t="s">
        <v>1</v>
      </c>
      <c r="C2" s="6"/>
      <c r="D2" s="7" t="s">
        <v>2</v>
      </c>
      <c r="E2" s="7"/>
      <c r="F2" s="7"/>
      <c r="G2" s="7"/>
      <c r="H2" s="8">
        <v>1.0817</v>
      </c>
    </row>
    <row r="3" hidden="1" spans="1:11">
      <c r="A3" s="9"/>
      <c r="B3" s="10" t="s">
        <v>3</v>
      </c>
      <c r="C3" s="11">
        <v>1</v>
      </c>
      <c r="D3" s="12">
        <v>19242</v>
      </c>
      <c r="E3" s="13">
        <f>C3*D3</f>
        <v>19242</v>
      </c>
      <c r="F3" s="14">
        <f>E3/1500</f>
        <v>12.828</v>
      </c>
      <c r="G3" s="13">
        <f>F3/10</f>
        <v>1.2828</v>
      </c>
      <c r="H3" t="s">
        <v>4</v>
      </c>
      <c r="K3">
        <f>10*1.28</f>
        <v>12.8</v>
      </c>
    </row>
    <row r="4" ht="27.6" hidden="1" spans="1:11">
      <c r="A4" s="15"/>
      <c r="B4" s="10" t="s">
        <v>5</v>
      </c>
      <c r="C4" s="11"/>
      <c r="D4" s="13"/>
      <c r="E4" s="13">
        <f>(E3)*30.28%</f>
        <v>5826.4776</v>
      </c>
      <c r="F4" s="14">
        <f t="shared" ref="F4:F10" si="0">E4/1500</f>
        <v>3.8843184</v>
      </c>
      <c r="G4" s="13">
        <f>F4/10</f>
        <v>0.38843184</v>
      </c>
      <c r="H4" t="s">
        <v>4</v>
      </c>
      <c r="K4">
        <f>0.39*10</f>
        <v>3.9</v>
      </c>
    </row>
    <row r="5" hidden="1" spans="1:11">
      <c r="A5" s="9"/>
      <c r="B5" s="10" t="s">
        <v>6</v>
      </c>
      <c r="C5" s="11">
        <v>4</v>
      </c>
      <c r="D5" s="16">
        <f>D3</f>
        <v>19242</v>
      </c>
      <c r="E5" s="13">
        <f>(C5*D5)*25%</f>
        <v>19242</v>
      </c>
      <c r="F5" s="14">
        <f t="shared" si="0"/>
        <v>12.828</v>
      </c>
      <c r="G5" s="13">
        <f>F5/1</f>
        <v>12.828</v>
      </c>
      <c r="H5" t="s">
        <v>7</v>
      </c>
      <c r="K5" s="58">
        <f>G5</f>
        <v>12.828</v>
      </c>
    </row>
    <row r="6" ht="27.6" hidden="1" spans="1:11">
      <c r="A6" s="15"/>
      <c r="B6" s="10" t="s">
        <v>5</v>
      </c>
      <c r="C6" s="11"/>
      <c r="D6" s="13"/>
      <c r="E6" s="13">
        <f>(E5)*30.28%</f>
        <v>5826.4776</v>
      </c>
      <c r="F6" s="14">
        <f t="shared" si="0"/>
        <v>3.8843184</v>
      </c>
      <c r="G6" s="13">
        <f>F6/1</f>
        <v>3.8843184</v>
      </c>
      <c r="H6" t="s">
        <v>7</v>
      </c>
      <c r="K6" s="58">
        <f>G6</f>
        <v>3.8843184</v>
      </c>
    </row>
    <row r="7" ht="28.5" hidden="1" customHeight="1" spans="1:11">
      <c r="A7" s="15"/>
      <c r="B7" s="17" t="s">
        <v>8</v>
      </c>
      <c r="C7" s="18"/>
      <c r="D7" s="13"/>
      <c r="E7" s="19">
        <f>1*31*0.4*51.89*6</f>
        <v>3860.616</v>
      </c>
      <c r="F7" s="20">
        <f>E7/1500+0.01</f>
        <v>2.583744</v>
      </c>
      <c r="G7" s="13">
        <f>F7/10</f>
        <v>0.2583744</v>
      </c>
      <c r="H7" t="s">
        <v>9</v>
      </c>
      <c r="K7" s="58">
        <f>G7*11</f>
        <v>2.8421184</v>
      </c>
    </row>
    <row r="8" hidden="1" spans="1:11">
      <c r="A8" s="9"/>
      <c r="B8" s="10" t="s">
        <v>10</v>
      </c>
      <c r="C8" s="11"/>
      <c r="D8" s="13"/>
      <c r="E8" s="12">
        <f>10310*H2</f>
        <v>11152.327</v>
      </c>
      <c r="F8" s="14">
        <f>E8/1500-0.01</f>
        <v>7.42488466666667</v>
      </c>
      <c r="G8" s="13">
        <f>F8/10</f>
        <v>0.742488466666667</v>
      </c>
      <c r="H8" t="s">
        <v>9</v>
      </c>
      <c r="K8" s="58">
        <f>G8*11</f>
        <v>8.16737313333333</v>
      </c>
    </row>
    <row r="9" hidden="1" spans="1:11">
      <c r="A9" s="9"/>
      <c r="B9" s="10" t="s">
        <v>11</v>
      </c>
      <c r="C9" s="11"/>
      <c r="D9" s="13"/>
      <c r="E9" s="12">
        <f>5550*H2</f>
        <v>6003.435</v>
      </c>
      <c r="F9" s="14">
        <f>E9/1500</f>
        <v>4.00229</v>
      </c>
      <c r="G9" s="13">
        <f>F9/10</f>
        <v>0.400229</v>
      </c>
      <c r="H9" t="s">
        <v>9</v>
      </c>
      <c r="K9" s="58">
        <f>G9*11</f>
        <v>4.402519</v>
      </c>
    </row>
    <row r="10" ht="15.15" hidden="1" spans="1:11">
      <c r="A10" s="15"/>
      <c r="B10" s="17" t="s">
        <v>12</v>
      </c>
      <c r="C10" s="21"/>
      <c r="D10" s="19"/>
      <c r="E10" s="22">
        <f>5000*H2</f>
        <v>5408.5</v>
      </c>
      <c r="F10" s="20">
        <f t="shared" si="0"/>
        <v>3.60566666666667</v>
      </c>
      <c r="G10" s="19">
        <f>F10/11</f>
        <v>0.327787878787879</v>
      </c>
      <c r="H10" t="s">
        <v>9</v>
      </c>
      <c r="K10" s="58">
        <f>G10*11</f>
        <v>3.60566666666667</v>
      </c>
    </row>
    <row r="11" ht="15.15" hidden="1" spans="1:11">
      <c r="A11" s="23"/>
      <c r="B11" s="24" t="s">
        <v>13</v>
      </c>
      <c r="C11" s="25" t="s">
        <v>14</v>
      </c>
      <c r="D11" s="26" t="s">
        <v>14</v>
      </c>
      <c r="E11" s="26">
        <f>SUM(E3:E10)</f>
        <v>76561.8332</v>
      </c>
      <c r="F11" s="26">
        <f>SUM(F3:F10)-0.01</f>
        <v>51.0312221333333</v>
      </c>
      <c r="G11" s="27"/>
      <c r="I11" s="59">
        <f>12.83+3.88+12.83+3.88+2.58+7.4+4+3.63</f>
        <v>51.03</v>
      </c>
      <c r="K11" s="60">
        <f>SUM(K3:K10)</f>
        <v>52.4299956</v>
      </c>
    </row>
    <row r="12" ht="15.15" hidden="1" spans="1:9">
      <c r="A12" s="28"/>
      <c r="B12" s="29" t="s">
        <v>15</v>
      </c>
      <c r="C12" s="30"/>
      <c r="D12" s="31"/>
      <c r="E12" s="31">
        <f>E11*10%</f>
        <v>7656.18332</v>
      </c>
      <c r="F12" s="31">
        <f>E12/1500+0.01</f>
        <v>5.11412221333333</v>
      </c>
      <c r="G12" s="31"/>
      <c r="I12" s="61">
        <v>5.11</v>
      </c>
    </row>
    <row r="13" ht="15.15" hidden="1" spans="1:10">
      <c r="A13" s="23"/>
      <c r="B13" s="24" t="s">
        <v>16</v>
      </c>
      <c r="C13" s="25" t="s">
        <v>14</v>
      </c>
      <c r="D13" s="26" t="s">
        <v>14</v>
      </c>
      <c r="E13" s="26">
        <f>E11+E12</f>
        <v>84218.01652</v>
      </c>
      <c r="F13" s="26">
        <f>F11+F12-0.01</f>
        <v>56.1353443466667</v>
      </c>
      <c r="G13" s="27"/>
      <c r="I13" s="62">
        <f>I11+I12</f>
        <v>56.14</v>
      </c>
      <c r="J13" s="63"/>
    </row>
    <row r="14" hidden="1"/>
    <row r="15" spans="6:7">
      <c r="F15" s="32" t="s">
        <v>17</v>
      </c>
      <c r="G15" s="32"/>
    </row>
    <row r="16" spans="4:4">
      <c r="D16" s="33" t="s">
        <v>18</v>
      </c>
    </row>
    <row r="17" spans="4:5">
      <c r="D17" s="34" t="s">
        <v>19</v>
      </c>
      <c r="E17" s="35"/>
    </row>
    <row r="18" spans="4:5">
      <c r="D18" s="34" t="s">
        <v>20</v>
      </c>
      <c r="E18" s="35"/>
    </row>
    <row r="19" spans="1:2">
      <c r="A19" s="36"/>
      <c r="B19" s="36"/>
    </row>
    <row r="20" spans="1:7">
      <c r="A20" s="36"/>
      <c r="B20" s="36"/>
      <c r="G20" t="s">
        <v>21</v>
      </c>
    </row>
    <row r="21" s="2" customFormat="1" ht="15.6" spans="2:7">
      <c r="B21" s="37" t="s">
        <v>22</v>
      </c>
      <c r="C21" s="37"/>
      <c r="D21" s="37"/>
      <c r="E21" s="37"/>
      <c r="F21" s="37"/>
      <c r="G21" s="37"/>
    </row>
    <row r="22" s="2" customFormat="1" ht="15.6" spans="1:7">
      <c r="A22" s="37" t="s">
        <v>23</v>
      </c>
      <c r="B22" s="37"/>
      <c r="C22" s="37"/>
      <c r="D22" s="37"/>
      <c r="E22" s="37"/>
      <c r="F22" s="37"/>
      <c r="G22" s="2" t="s">
        <v>24</v>
      </c>
    </row>
    <row r="23" s="2" customFormat="1" ht="10" customHeight="1" spans="2:7">
      <c r="B23" s="37"/>
      <c r="C23" s="37"/>
      <c r="D23" s="37"/>
      <c r="E23" s="37"/>
      <c r="F23" s="37"/>
      <c r="G23" t="s">
        <v>25</v>
      </c>
    </row>
    <row r="24" s="2" customFormat="1" ht="15.6" spans="2:7">
      <c r="B24" s="37" t="s">
        <v>26</v>
      </c>
      <c r="C24" s="37"/>
      <c r="D24" s="37"/>
      <c r="E24" s="37"/>
      <c r="F24" s="37"/>
      <c r="G24" s="35"/>
    </row>
    <row r="25" spans="1:16">
      <c r="A25" s="38"/>
      <c r="B25" s="38"/>
      <c r="E25" s="39" t="s">
        <v>27</v>
      </c>
      <c r="F25" s="40">
        <v>1500</v>
      </c>
      <c r="G25" s="40"/>
      <c r="H25" s="3"/>
      <c r="I25" s="1"/>
      <c r="J25" s="1"/>
      <c r="K25" s="1"/>
      <c r="L25" s="1"/>
      <c r="M25" s="1"/>
      <c r="N25" s="1"/>
      <c r="O25" s="1"/>
      <c r="P25" s="1"/>
    </row>
    <row r="26" ht="31.5" customHeight="1" spans="1:16">
      <c r="A26" s="41" t="s">
        <v>28</v>
      </c>
      <c r="B26" s="41" t="s">
        <v>29</v>
      </c>
      <c r="C26" s="41" t="s">
        <v>30</v>
      </c>
      <c r="D26" s="41" t="s">
        <v>31</v>
      </c>
      <c r="E26" s="41" t="s">
        <v>32</v>
      </c>
      <c r="F26" s="41" t="s">
        <v>33</v>
      </c>
      <c r="G26" s="42"/>
      <c r="H26" s="3"/>
      <c r="I26" s="64"/>
      <c r="J26" s="64"/>
      <c r="K26" s="64"/>
      <c r="L26" s="64"/>
      <c r="M26" s="64"/>
      <c r="N26" s="64"/>
      <c r="O26" s="64"/>
      <c r="P26" s="64"/>
    </row>
    <row r="27" s="3" customFormat="1" ht="25.5" customHeight="1" spans="1:16">
      <c r="A27" s="43">
        <v>1</v>
      </c>
      <c r="B27" s="44" t="s">
        <v>34</v>
      </c>
      <c r="C27" s="45"/>
      <c r="D27" s="45"/>
      <c r="E27" s="46">
        <f>E28+E29+E30+E31+E32+E33</f>
        <v>5100.16737818182</v>
      </c>
      <c r="F27" s="47">
        <f>F28+F29+F30+F31+F32+F33</f>
        <v>3.40011158545454</v>
      </c>
      <c r="G27" s="48">
        <v>1.0817</v>
      </c>
      <c r="I27" s="65"/>
      <c r="J27" s="65"/>
      <c r="K27" s="65"/>
      <c r="L27" s="65"/>
      <c r="M27" s="65"/>
      <c r="N27" s="65"/>
      <c r="O27" s="65"/>
      <c r="P27" s="65"/>
    </row>
    <row r="28" spans="1:7">
      <c r="A28" s="9"/>
      <c r="B28" s="9" t="s">
        <v>3</v>
      </c>
      <c r="C28" s="49">
        <v>1</v>
      </c>
      <c r="D28" s="13">
        <f>D3</f>
        <v>19242</v>
      </c>
      <c r="E28" s="13">
        <f>E3/10</f>
        <v>1924.2</v>
      </c>
      <c r="F28" s="50">
        <f t="shared" ref="F28:F33" si="1">E28/1500</f>
        <v>1.2828</v>
      </c>
      <c r="G28" s="51"/>
    </row>
    <row r="29" ht="27.6" spans="1:7">
      <c r="A29" s="15"/>
      <c r="B29" s="9" t="s">
        <v>5</v>
      </c>
      <c r="C29" s="49"/>
      <c r="D29" s="50"/>
      <c r="E29" s="13">
        <f>E4/10</f>
        <v>582.64776</v>
      </c>
      <c r="F29" s="50">
        <f t="shared" si="1"/>
        <v>0.38843184</v>
      </c>
      <c r="G29" s="51"/>
    </row>
    <row r="30" ht="28.5" customHeight="1" spans="1:7">
      <c r="A30" s="15"/>
      <c r="B30" s="15" t="s">
        <v>35</v>
      </c>
      <c r="C30" s="52"/>
      <c r="D30" s="50"/>
      <c r="E30" s="13">
        <f>E7/10</f>
        <v>386.0616</v>
      </c>
      <c r="F30" s="50">
        <f t="shared" si="1"/>
        <v>0.2573744</v>
      </c>
      <c r="G30" s="51"/>
    </row>
    <row r="31" spans="1:7">
      <c r="A31" s="9"/>
      <c r="B31" s="9" t="s">
        <v>10</v>
      </c>
      <c r="C31" s="49"/>
      <c r="D31" s="50"/>
      <c r="E31" s="13">
        <f>E8/10</f>
        <v>1115.2327</v>
      </c>
      <c r="F31" s="50">
        <f t="shared" si="1"/>
        <v>0.743488466666667</v>
      </c>
      <c r="G31" s="51"/>
    </row>
    <row r="32" spans="1:7">
      <c r="A32" s="9"/>
      <c r="B32" s="9" t="s">
        <v>11</v>
      </c>
      <c r="C32" s="49"/>
      <c r="D32" s="50"/>
      <c r="E32" s="13">
        <f>E9/10</f>
        <v>600.3435</v>
      </c>
      <c r="F32" s="50">
        <f t="shared" si="1"/>
        <v>0.400229</v>
      </c>
      <c r="G32" s="51"/>
    </row>
    <row r="33" spans="1:7">
      <c r="A33" s="9"/>
      <c r="B33" s="9" t="s">
        <v>12</v>
      </c>
      <c r="C33" s="49"/>
      <c r="D33" s="50"/>
      <c r="E33" s="53">
        <f>E10/11</f>
        <v>491.681818181818</v>
      </c>
      <c r="F33" s="50">
        <f t="shared" si="1"/>
        <v>0.327787878787879</v>
      </c>
      <c r="G33" s="51"/>
    </row>
    <row r="34" s="3" customFormat="1" ht="21" customHeight="1" spans="1:7">
      <c r="A34" s="43">
        <v>2</v>
      </c>
      <c r="B34" s="44" t="s">
        <v>36</v>
      </c>
      <c r="C34" s="45"/>
      <c r="D34" s="54"/>
      <c r="E34" s="14">
        <f>E35+E36+E37</f>
        <v>25540.1594181818</v>
      </c>
      <c r="F34" s="47">
        <f>F35+F36+F37</f>
        <v>17.0267729454545</v>
      </c>
      <c r="G34" s="55"/>
    </row>
    <row r="35" spans="1:7">
      <c r="A35" s="9"/>
      <c r="B35" s="9" t="s">
        <v>37</v>
      </c>
      <c r="C35" s="49">
        <v>4</v>
      </c>
      <c r="D35" s="50">
        <f>D28</f>
        <v>19242</v>
      </c>
      <c r="E35" s="13">
        <f>E5</f>
        <v>19242</v>
      </c>
      <c r="F35" s="50">
        <f t="shared" ref="F35:F37" si="2">E35/1500</f>
        <v>12.828</v>
      </c>
      <c r="G35" s="51"/>
    </row>
    <row r="36" ht="27.6" spans="1:7">
      <c r="A36" s="15"/>
      <c r="B36" s="9" t="s">
        <v>5</v>
      </c>
      <c r="C36" s="49"/>
      <c r="D36" s="50"/>
      <c r="E36" s="13">
        <f>E6</f>
        <v>5826.4776</v>
      </c>
      <c r="F36" s="50">
        <f t="shared" si="2"/>
        <v>3.8843184</v>
      </c>
      <c r="G36" s="51"/>
    </row>
    <row r="37" spans="1:7">
      <c r="A37" s="9"/>
      <c r="B37" s="9" t="s">
        <v>38</v>
      </c>
      <c r="C37" s="49"/>
      <c r="D37" s="50"/>
      <c r="E37" s="13">
        <f>E10/11-20</f>
        <v>471.681818181818</v>
      </c>
      <c r="F37" s="56">
        <f t="shared" si="2"/>
        <v>0.314454545454545</v>
      </c>
      <c r="G37" s="51"/>
    </row>
    <row r="38" s="3" customFormat="1" ht="25.5" customHeight="1" spans="1:7">
      <c r="A38" s="43">
        <v>3</v>
      </c>
      <c r="B38" s="44" t="s">
        <v>39</v>
      </c>
      <c r="C38" s="45"/>
      <c r="D38" s="54"/>
      <c r="E38" s="46">
        <f>E39+E40+E41+E42+E43+E44</f>
        <v>5100.16737818182</v>
      </c>
      <c r="F38" s="47">
        <f>F39+F40+F41+F42+F43+F44</f>
        <v>3.40011158545454</v>
      </c>
      <c r="G38" s="55"/>
    </row>
    <row r="39" spans="1:7">
      <c r="A39" s="9"/>
      <c r="B39" s="9" t="s">
        <v>3</v>
      </c>
      <c r="C39" s="49">
        <v>1</v>
      </c>
      <c r="D39" s="50">
        <f>D28</f>
        <v>19242</v>
      </c>
      <c r="E39" s="50">
        <f>E3/10</f>
        <v>1924.2</v>
      </c>
      <c r="F39" s="50">
        <f t="shared" ref="F39:F44" si="3">E39/1500</f>
        <v>1.2828</v>
      </c>
      <c r="G39" s="51"/>
    </row>
    <row r="40" ht="27.6" spans="1:7">
      <c r="A40" s="15"/>
      <c r="B40" s="9" t="s">
        <v>5</v>
      </c>
      <c r="C40" s="49"/>
      <c r="D40" s="50"/>
      <c r="E40" s="50">
        <f>E4/10</f>
        <v>582.64776</v>
      </c>
      <c r="F40" s="50">
        <f t="shared" si="3"/>
        <v>0.38843184</v>
      </c>
      <c r="G40" s="51"/>
    </row>
    <row r="41" ht="28.5" customHeight="1" spans="1:7">
      <c r="A41" s="15"/>
      <c r="B41" s="15" t="s">
        <v>35</v>
      </c>
      <c r="C41" s="52"/>
      <c r="D41" s="50"/>
      <c r="E41" s="50">
        <f>E7/10</f>
        <v>386.0616</v>
      </c>
      <c r="F41" s="57">
        <f t="shared" si="3"/>
        <v>0.2573744</v>
      </c>
      <c r="G41" s="51"/>
    </row>
    <row r="42" spans="1:7">
      <c r="A42" s="9"/>
      <c r="B42" s="9" t="s">
        <v>10</v>
      </c>
      <c r="C42" s="49"/>
      <c r="D42" s="50"/>
      <c r="E42" s="50">
        <f>E8/10</f>
        <v>1115.2327</v>
      </c>
      <c r="F42" s="50">
        <f t="shared" si="3"/>
        <v>0.743488466666667</v>
      </c>
      <c r="G42" s="51"/>
    </row>
    <row r="43" spans="1:7">
      <c r="A43" s="9"/>
      <c r="B43" s="9" t="s">
        <v>11</v>
      </c>
      <c r="C43" s="49"/>
      <c r="D43" s="50"/>
      <c r="E43" s="50">
        <f>E9/10</f>
        <v>600.3435</v>
      </c>
      <c r="F43" s="50">
        <f t="shared" si="3"/>
        <v>0.400229</v>
      </c>
      <c r="G43" s="51"/>
    </row>
    <row r="44" spans="1:7">
      <c r="A44" s="9"/>
      <c r="B44" s="9" t="s">
        <v>12</v>
      </c>
      <c r="C44" s="49"/>
      <c r="D44" s="50"/>
      <c r="E44" s="50">
        <f>E10/11</f>
        <v>491.681818181818</v>
      </c>
      <c r="F44" s="50">
        <f t="shared" si="3"/>
        <v>0.327787878787879</v>
      </c>
      <c r="G44" s="51"/>
    </row>
    <row r="45" s="3" customFormat="1" ht="30" customHeight="1" spans="1:7">
      <c r="A45" s="43">
        <v>4</v>
      </c>
      <c r="B45" s="44" t="s">
        <v>40</v>
      </c>
      <c r="C45" s="45"/>
      <c r="D45" s="54"/>
      <c r="E45" s="46">
        <f>E46+E47+E48+E49+E50+E51</f>
        <v>5100.16737818182</v>
      </c>
      <c r="F45" s="47">
        <f>F46+F47+F48+F49+F50+F51</f>
        <v>3.40011158545454</v>
      </c>
      <c r="G45" s="55"/>
    </row>
    <row r="46" spans="1:7">
      <c r="A46" s="9"/>
      <c r="B46" s="9" t="s">
        <v>3</v>
      </c>
      <c r="C46" s="49">
        <v>1</v>
      </c>
      <c r="D46" s="50">
        <f>D28</f>
        <v>19242</v>
      </c>
      <c r="E46" s="50">
        <f>E3/10</f>
        <v>1924.2</v>
      </c>
      <c r="F46" s="50">
        <f t="shared" ref="F46:F51" si="4">E46/1500</f>
        <v>1.2828</v>
      </c>
      <c r="G46" s="51"/>
    </row>
    <row r="47" ht="27.6" spans="1:7">
      <c r="A47" s="15"/>
      <c r="B47" s="9" t="s">
        <v>5</v>
      </c>
      <c r="C47" s="49"/>
      <c r="D47" s="50"/>
      <c r="E47" s="50">
        <f>E4/10</f>
        <v>582.64776</v>
      </c>
      <c r="F47" s="50">
        <f t="shared" si="4"/>
        <v>0.38843184</v>
      </c>
      <c r="G47" s="51"/>
    </row>
    <row r="48" ht="28.5" customHeight="1" spans="1:7">
      <c r="A48" s="15"/>
      <c r="B48" s="15" t="s">
        <v>35</v>
      </c>
      <c r="C48" s="52"/>
      <c r="D48" s="50"/>
      <c r="E48" s="50">
        <f>E7/10</f>
        <v>386.0616</v>
      </c>
      <c r="F48" s="57">
        <f t="shared" si="4"/>
        <v>0.2573744</v>
      </c>
      <c r="G48" s="51"/>
    </row>
    <row r="49" spans="1:7">
      <c r="A49" s="9"/>
      <c r="B49" s="9" t="s">
        <v>10</v>
      </c>
      <c r="C49" s="49"/>
      <c r="D49" s="50"/>
      <c r="E49" s="50">
        <f>E8/10</f>
        <v>1115.2327</v>
      </c>
      <c r="F49" s="50">
        <f t="shared" si="4"/>
        <v>0.743488466666667</v>
      </c>
      <c r="G49" s="51"/>
    </row>
    <row r="50" spans="1:7">
      <c r="A50" s="9"/>
      <c r="B50" s="9" t="s">
        <v>11</v>
      </c>
      <c r="C50" s="49"/>
      <c r="D50" s="50"/>
      <c r="E50" s="50">
        <f>E9/10</f>
        <v>600.3435</v>
      </c>
      <c r="F50" s="50">
        <f t="shared" si="4"/>
        <v>0.400229</v>
      </c>
      <c r="G50" s="51"/>
    </row>
    <row r="51" spans="1:7">
      <c r="A51" s="9"/>
      <c r="B51" s="9" t="s">
        <v>12</v>
      </c>
      <c r="C51" s="49"/>
      <c r="D51" s="50"/>
      <c r="E51" s="50">
        <f>E10/11</f>
        <v>491.681818181818</v>
      </c>
      <c r="F51" s="50">
        <f t="shared" si="4"/>
        <v>0.327787878787879</v>
      </c>
      <c r="G51" s="51"/>
    </row>
    <row r="52" s="3" customFormat="1" spans="1:7">
      <c r="A52" s="43">
        <v>5</v>
      </c>
      <c r="B52" s="44" t="s">
        <v>41</v>
      </c>
      <c r="C52" s="45"/>
      <c r="D52" s="54"/>
      <c r="E52" s="46">
        <f>E53+E54+E55+E56+E57+E58</f>
        <v>5100.16737818182</v>
      </c>
      <c r="F52" s="47">
        <f>F53+F54+F55+F56+F57+F58</f>
        <v>3.40011158545454</v>
      </c>
      <c r="G52" s="55"/>
    </row>
    <row r="53" spans="1:7">
      <c r="A53" s="9"/>
      <c r="B53" s="9" t="s">
        <v>3</v>
      </c>
      <c r="C53" s="49">
        <v>1</v>
      </c>
      <c r="D53" s="50">
        <f>D28</f>
        <v>19242</v>
      </c>
      <c r="E53" s="50">
        <f>E3/10</f>
        <v>1924.2</v>
      </c>
      <c r="F53" s="50">
        <f t="shared" ref="F53:F58" si="5">E53/1500</f>
        <v>1.2828</v>
      </c>
      <c r="G53" s="51"/>
    </row>
    <row r="54" ht="27.6" spans="1:7">
      <c r="A54" s="15"/>
      <c r="B54" s="9" t="s">
        <v>5</v>
      </c>
      <c r="C54" s="49"/>
      <c r="D54" s="50"/>
      <c r="E54" s="50">
        <f>E4/10</f>
        <v>582.64776</v>
      </c>
      <c r="F54" s="50">
        <f t="shared" si="5"/>
        <v>0.38843184</v>
      </c>
      <c r="G54" s="51"/>
    </row>
    <row r="55" ht="28.5" customHeight="1" spans="1:7">
      <c r="A55" s="15"/>
      <c r="B55" s="15" t="s">
        <v>35</v>
      </c>
      <c r="C55" s="52"/>
      <c r="D55" s="50"/>
      <c r="E55" s="50">
        <f>E7/10</f>
        <v>386.0616</v>
      </c>
      <c r="F55" s="57">
        <f t="shared" si="5"/>
        <v>0.2573744</v>
      </c>
      <c r="G55" s="51"/>
    </row>
    <row r="56" spans="1:7">
      <c r="A56" s="9"/>
      <c r="B56" s="9" t="s">
        <v>10</v>
      </c>
      <c r="C56" s="49"/>
      <c r="D56" s="50"/>
      <c r="E56" s="50">
        <f>E8/10</f>
        <v>1115.2327</v>
      </c>
      <c r="F56" s="50">
        <f t="shared" si="5"/>
        <v>0.743488466666667</v>
      </c>
      <c r="G56" s="51"/>
    </row>
    <row r="57" spans="1:7">
      <c r="A57" s="9"/>
      <c r="B57" s="9" t="s">
        <v>11</v>
      </c>
      <c r="C57" s="49"/>
      <c r="D57" s="50"/>
      <c r="E57" s="50">
        <f>E9/10</f>
        <v>600.3435</v>
      </c>
      <c r="F57" s="50">
        <f t="shared" si="5"/>
        <v>0.400229</v>
      </c>
      <c r="G57" s="51"/>
    </row>
    <row r="58" spans="1:7">
      <c r="A58" s="9"/>
      <c r="B58" s="9" t="s">
        <v>12</v>
      </c>
      <c r="C58" s="49"/>
      <c r="D58" s="50"/>
      <c r="E58" s="50">
        <f>E10/11</f>
        <v>491.681818181818</v>
      </c>
      <c r="F58" s="50">
        <f t="shared" si="5"/>
        <v>0.327787878787879</v>
      </c>
      <c r="G58" s="51"/>
    </row>
    <row r="59" s="3" customFormat="1" ht="25.5" customHeight="1" spans="1:7">
      <c r="A59" s="43">
        <v>6</v>
      </c>
      <c r="B59" s="44" t="s">
        <v>42</v>
      </c>
      <c r="C59" s="45"/>
      <c r="D59" s="54"/>
      <c r="E59" s="46">
        <f>E60+E61+E62+E63+E64+E65</f>
        <v>5100.16737818182</v>
      </c>
      <c r="F59" s="47">
        <f>F60+F61+F62+F63+F64+F65</f>
        <v>3.40011158545454</v>
      </c>
      <c r="G59" s="55"/>
    </row>
    <row r="60" spans="1:7">
      <c r="A60" s="9"/>
      <c r="B60" s="9" t="s">
        <v>3</v>
      </c>
      <c r="C60" s="49">
        <v>1</v>
      </c>
      <c r="D60" s="50">
        <f>D28</f>
        <v>19242</v>
      </c>
      <c r="E60" s="50">
        <f>E3/10</f>
        <v>1924.2</v>
      </c>
      <c r="F60" s="50">
        <f t="shared" ref="F60:F65" si="6">E60/1500</f>
        <v>1.2828</v>
      </c>
      <c r="G60" s="51"/>
    </row>
    <row r="61" ht="27.6" spans="1:7">
      <c r="A61" s="15"/>
      <c r="B61" s="9" t="s">
        <v>5</v>
      </c>
      <c r="C61" s="49"/>
      <c r="D61" s="50"/>
      <c r="E61" s="50">
        <f>E4/10</f>
        <v>582.64776</v>
      </c>
      <c r="F61" s="50">
        <f t="shared" si="6"/>
        <v>0.38843184</v>
      </c>
      <c r="G61" s="51"/>
    </row>
    <row r="62" ht="28.5" customHeight="1" spans="1:7">
      <c r="A62" s="15"/>
      <c r="B62" s="15" t="s">
        <v>35</v>
      </c>
      <c r="C62" s="52"/>
      <c r="D62" s="50"/>
      <c r="E62" s="50">
        <f>E7/10</f>
        <v>386.0616</v>
      </c>
      <c r="F62" s="57">
        <f t="shared" si="6"/>
        <v>0.2573744</v>
      </c>
      <c r="G62" s="51"/>
    </row>
    <row r="63" spans="1:7">
      <c r="A63" s="9"/>
      <c r="B63" s="9" t="s">
        <v>10</v>
      </c>
      <c r="C63" s="49"/>
      <c r="D63" s="50"/>
      <c r="E63" s="50">
        <f>E8/10</f>
        <v>1115.2327</v>
      </c>
      <c r="F63" s="50">
        <f t="shared" si="6"/>
        <v>0.743488466666667</v>
      </c>
      <c r="G63" s="51"/>
    </row>
    <row r="64" spans="1:7">
      <c r="A64" s="9"/>
      <c r="B64" s="9" t="s">
        <v>11</v>
      </c>
      <c r="C64" s="49"/>
      <c r="D64" s="50"/>
      <c r="E64" s="50">
        <f>E9/10</f>
        <v>600.3435</v>
      </c>
      <c r="F64" s="50">
        <f t="shared" si="6"/>
        <v>0.400229</v>
      </c>
      <c r="G64" s="51"/>
    </row>
    <row r="65" spans="1:7">
      <c r="A65" s="9"/>
      <c r="B65" s="9" t="s">
        <v>12</v>
      </c>
      <c r="C65" s="49"/>
      <c r="D65" s="50"/>
      <c r="E65" s="50">
        <f>E10/11</f>
        <v>491.681818181818</v>
      </c>
      <c r="F65" s="50">
        <f t="shared" si="6"/>
        <v>0.327787878787879</v>
      </c>
      <c r="G65" s="51"/>
    </row>
    <row r="66" s="3" customFormat="1" ht="17.25" customHeight="1" spans="1:7">
      <c r="A66" s="43">
        <v>7</v>
      </c>
      <c r="B66" s="44" t="s">
        <v>43</v>
      </c>
      <c r="C66" s="45"/>
      <c r="D66" s="54"/>
      <c r="E66" s="46">
        <f>E67+E68+E69+E70+E71+E72</f>
        <v>5100.16737818182</v>
      </c>
      <c r="F66" s="47">
        <f>F67+F68+F69+F70+F71+F72</f>
        <v>3.40011158545454</v>
      </c>
      <c r="G66" s="55"/>
    </row>
    <row r="67" spans="1:7">
      <c r="A67" s="9"/>
      <c r="B67" s="9" t="s">
        <v>3</v>
      </c>
      <c r="C67" s="49">
        <v>1</v>
      </c>
      <c r="D67" s="50">
        <f>D28</f>
        <v>19242</v>
      </c>
      <c r="E67" s="50">
        <f>E3/10</f>
        <v>1924.2</v>
      </c>
      <c r="F67" s="50">
        <f t="shared" ref="F67:F72" si="7">E67/1500</f>
        <v>1.2828</v>
      </c>
      <c r="G67" s="51"/>
    </row>
    <row r="68" ht="27.6" spans="1:7">
      <c r="A68" s="15"/>
      <c r="B68" s="9" t="s">
        <v>5</v>
      </c>
      <c r="C68" s="49"/>
      <c r="D68" s="50"/>
      <c r="E68" s="50">
        <f>E4/10</f>
        <v>582.64776</v>
      </c>
      <c r="F68" s="50">
        <f t="shared" si="7"/>
        <v>0.38843184</v>
      </c>
      <c r="G68" s="51"/>
    </row>
    <row r="69" ht="28.5" customHeight="1" spans="1:7">
      <c r="A69" s="15"/>
      <c r="B69" s="15" t="s">
        <v>35</v>
      </c>
      <c r="C69" s="52"/>
      <c r="D69" s="50"/>
      <c r="E69" s="50">
        <f>E7/10</f>
        <v>386.0616</v>
      </c>
      <c r="F69" s="57">
        <f t="shared" si="7"/>
        <v>0.2573744</v>
      </c>
      <c r="G69" s="51"/>
    </row>
    <row r="70" spans="1:7">
      <c r="A70" s="9"/>
      <c r="B70" s="9" t="s">
        <v>10</v>
      </c>
      <c r="C70" s="49"/>
      <c r="D70" s="50"/>
      <c r="E70" s="50">
        <f>E8/10</f>
        <v>1115.2327</v>
      </c>
      <c r="F70" s="50">
        <f t="shared" si="7"/>
        <v>0.743488466666667</v>
      </c>
      <c r="G70" s="51"/>
    </row>
    <row r="71" spans="1:7">
      <c r="A71" s="9"/>
      <c r="B71" s="9" t="s">
        <v>11</v>
      </c>
      <c r="C71" s="49"/>
      <c r="D71" s="50"/>
      <c r="E71" s="50">
        <f>E9/10</f>
        <v>600.3435</v>
      </c>
      <c r="F71" s="50">
        <f t="shared" si="7"/>
        <v>0.400229</v>
      </c>
      <c r="G71" s="51"/>
    </row>
    <row r="72" spans="1:7">
      <c r="A72" s="9"/>
      <c r="B72" s="9" t="s">
        <v>12</v>
      </c>
      <c r="C72" s="49"/>
      <c r="D72" s="50"/>
      <c r="E72" s="50">
        <f>E10/11</f>
        <v>491.681818181818</v>
      </c>
      <c r="F72" s="50">
        <f t="shared" si="7"/>
        <v>0.327787878787879</v>
      </c>
      <c r="G72" s="51"/>
    </row>
    <row r="73" s="3" customFormat="1" spans="1:7">
      <c r="A73" s="43">
        <v>8</v>
      </c>
      <c r="B73" s="44" t="s">
        <v>44</v>
      </c>
      <c r="C73" s="45"/>
      <c r="D73" s="54"/>
      <c r="E73" s="46">
        <f>E74+E75+E76+E77+E78+E79</f>
        <v>5100.16737818182</v>
      </c>
      <c r="F73" s="47">
        <f>F74+F75+F76+F77+F78+F79</f>
        <v>3.40011158545454</v>
      </c>
      <c r="G73" s="55"/>
    </row>
    <row r="74" spans="1:7">
      <c r="A74" s="9"/>
      <c r="B74" s="9" t="s">
        <v>3</v>
      </c>
      <c r="C74" s="49">
        <v>1</v>
      </c>
      <c r="D74" s="50">
        <f>D28</f>
        <v>19242</v>
      </c>
      <c r="E74" s="50">
        <f>E3/10</f>
        <v>1924.2</v>
      </c>
      <c r="F74" s="50">
        <f t="shared" ref="F74:F79" si="8">E74/1500</f>
        <v>1.2828</v>
      </c>
      <c r="G74" s="51"/>
    </row>
    <row r="75" ht="27.6" spans="1:7">
      <c r="A75" s="15"/>
      <c r="B75" s="9" t="s">
        <v>5</v>
      </c>
      <c r="C75" s="49"/>
      <c r="D75" s="50"/>
      <c r="E75" s="50">
        <f>E4/10</f>
        <v>582.64776</v>
      </c>
      <c r="F75" s="50">
        <f t="shared" si="8"/>
        <v>0.38843184</v>
      </c>
      <c r="G75" s="51"/>
    </row>
    <row r="76" ht="28.5" customHeight="1" spans="1:7">
      <c r="A76" s="15"/>
      <c r="B76" s="15" t="s">
        <v>35</v>
      </c>
      <c r="C76" s="52"/>
      <c r="D76" s="50"/>
      <c r="E76" s="50">
        <f>E7/10</f>
        <v>386.0616</v>
      </c>
      <c r="F76" s="57">
        <f t="shared" si="8"/>
        <v>0.2573744</v>
      </c>
      <c r="G76" s="51"/>
    </row>
    <row r="77" spans="1:7">
      <c r="A77" s="9"/>
      <c r="B77" s="9" t="s">
        <v>10</v>
      </c>
      <c r="C77" s="49"/>
      <c r="D77" s="50"/>
      <c r="E77" s="50">
        <f>E8/10</f>
        <v>1115.2327</v>
      </c>
      <c r="F77" s="50">
        <f t="shared" si="8"/>
        <v>0.743488466666667</v>
      </c>
      <c r="G77" s="51"/>
    </row>
    <row r="78" spans="1:7">
      <c r="A78" s="9"/>
      <c r="B78" s="9" t="s">
        <v>11</v>
      </c>
      <c r="C78" s="49"/>
      <c r="D78" s="50"/>
      <c r="E78" s="50">
        <f>E9/10</f>
        <v>600.3435</v>
      </c>
      <c r="F78" s="50">
        <f t="shared" si="8"/>
        <v>0.400229</v>
      </c>
      <c r="G78" s="51"/>
    </row>
    <row r="79" spans="1:7">
      <c r="A79" s="9"/>
      <c r="B79" s="9" t="s">
        <v>12</v>
      </c>
      <c r="C79" s="49"/>
      <c r="D79" s="50"/>
      <c r="E79" s="50">
        <f>E10/11</f>
        <v>491.681818181818</v>
      </c>
      <c r="F79" s="50">
        <f t="shared" si="8"/>
        <v>0.327787878787879</v>
      </c>
      <c r="G79" s="51"/>
    </row>
    <row r="80" s="3" customFormat="1" ht="29.25" customHeight="1" spans="1:7">
      <c r="A80" s="43">
        <v>9</v>
      </c>
      <c r="B80" s="44" t="s">
        <v>45</v>
      </c>
      <c r="C80" s="45"/>
      <c r="D80" s="54"/>
      <c r="E80" s="46">
        <f>E81+E82+E83+E84+E85+E86</f>
        <v>5100.16737818182</v>
      </c>
      <c r="F80" s="47">
        <f>F81+F82+F83+F84+F85+F86</f>
        <v>3.40011158545454</v>
      </c>
      <c r="G80" s="55"/>
    </row>
    <row r="81" spans="1:7">
      <c r="A81" s="9"/>
      <c r="B81" s="9" t="s">
        <v>3</v>
      </c>
      <c r="C81" s="49">
        <v>1</v>
      </c>
      <c r="D81" s="50">
        <f>D28</f>
        <v>19242</v>
      </c>
      <c r="E81" s="50">
        <f>E3/10</f>
        <v>1924.2</v>
      </c>
      <c r="F81" s="50">
        <f t="shared" ref="F81:F86" si="9">E81/1500</f>
        <v>1.2828</v>
      </c>
      <c r="G81" s="51"/>
    </row>
    <row r="82" ht="27.6" spans="1:7">
      <c r="A82" s="15"/>
      <c r="B82" s="9" t="s">
        <v>5</v>
      </c>
      <c r="C82" s="49"/>
      <c r="D82" s="50"/>
      <c r="E82" s="50">
        <f>E4/10</f>
        <v>582.64776</v>
      </c>
      <c r="F82" s="50">
        <f t="shared" si="9"/>
        <v>0.38843184</v>
      </c>
      <c r="G82" s="51"/>
    </row>
    <row r="83" ht="28.5" customHeight="1" spans="1:7">
      <c r="A83" s="15"/>
      <c r="B83" s="15" t="s">
        <v>35</v>
      </c>
      <c r="C83" s="52"/>
      <c r="D83" s="50"/>
      <c r="E83" s="50">
        <f>E7/10</f>
        <v>386.0616</v>
      </c>
      <c r="F83" s="57">
        <f t="shared" si="9"/>
        <v>0.2573744</v>
      </c>
      <c r="G83" s="51"/>
    </row>
    <row r="84" spans="1:7">
      <c r="A84" s="9"/>
      <c r="B84" s="9" t="s">
        <v>10</v>
      </c>
      <c r="C84" s="49"/>
      <c r="D84" s="50"/>
      <c r="E84" s="50">
        <f>E8/10</f>
        <v>1115.2327</v>
      </c>
      <c r="F84" s="50">
        <f t="shared" si="9"/>
        <v>0.743488466666667</v>
      </c>
      <c r="G84" s="51"/>
    </row>
    <row r="85" spans="1:7">
      <c r="A85" s="9"/>
      <c r="B85" s="9" t="s">
        <v>11</v>
      </c>
      <c r="C85" s="49"/>
      <c r="D85" s="50"/>
      <c r="E85" s="50">
        <f>E9/10</f>
        <v>600.3435</v>
      </c>
      <c r="F85" s="50">
        <f t="shared" si="9"/>
        <v>0.400229</v>
      </c>
      <c r="G85" s="51"/>
    </row>
    <row r="86" spans="1:7">
      <c r="A86" s="9"/>
      <c r="B86" s="9" t="s">
        <v>12</v>
      </c>
      <c r="C86" s="49"/>
      <c r="D86" s="50"/>
      <c r="E86" s="50">
        <f>E10/11</f>
        <v>491.681818181818</v>
      </c>
      <c r="F86" s="50">
        <f t="shared" si="9"/>
        <v>0.327787878787879</v>
      </c>
      <c r="G86" s="51"/>
    </row>
    <row r="87" s="3" customFormat="1" spans="1:7">
      <c r="A87" s="43">
        <v>10</v>
      </c>
      <c r="B87" s="44" t="s">
        <v>46</v>
      </c>
      <c r="C87" s="45"/>
      <c r="D87" s="54"/>
      <c r="E87" s="46">
        <f>E88+E89+E90+E91+E92+E93</f>
        <v>5100.16737818182</v>
      </c>
      <c r="F87" s="47">
        <f>F88+F89+F90+F91+F92+F93</f>
        <v>3.40011158545454</v>
      </c>
      <c r="G87" s="55"/>
    </row>
    <row r="88" spans="1:7">
      <c r="A88" s="9"/>
      <c r="B88" s="9" t="s">
        <v>3</v>
      </c>
      <c r="C88" s="49">
        <v>1</v>
      </c>
      <c r="D88" s="50">
        <f>D28</f>
        <v>19242</v>
      </c>
      <c r="E88" s="50">
        <f>E3/10</f>
        <v>1924.2</v>
      </c>
      <c r="F88" s="50">
        <f t="shared" ref="F88:F93" si="10">E88/1500</f>
        <v>1.2828</v>
      </c>
      <c r="G88" s="51"/>
    </row>
    <row r="89" ht="27.6" spans="1:7">
      <c r="A89" s="15"/>
      <c r="B89" s="9" t="s">
        <v>5</v>
      </c>
      <c r="C89" s="49"/>
      <c r="D89" s="50"/>
      <c r="E89" s="50">
        <f>E4/10</f>
        <v>582.64776</v>
      </c>
      <c r="F89" s="50">
        <f t="shared" si="10"/>
        <v>0.38843184</v>
      </c>
      <c r="G89" s="51"/>
    </row>
    <row r="90" ht="28.5" customHeight="1" spans="1:7">
      <c r="A90" s="15"/>
      <c r="B90" s="15" t="s">
        <v>35</v>
      </c>
      <c r="C90" s="52"/>
      <c r="D90" s="50"/>
      <c r="E90" s="50">
        <f>E7/10</f>
        <v>386.0616</v>
      </c>
      <c r="F90" s="57">
        <f t="shared" si="10"/>
        <v>0.2573744</v>
      </c>
      <c r="G90" s="51"/>
    </row>
    <row r="91" spans="1:7">
      <c r="A91" s="9"/>
      <c r="B91" s="9" t="s">
        <v>10</v>
      </c>
      <c r="C91" s="49"/>
      <c r="D91" s="50"/>
      <c r="E91" s="50">
        <f>E8/10</f>
        <v>1115.2327</v>
      </c>
      <c r="F91" s="50">
        <f t="shared" si="10"/>
        <v>0.743488466666667</v>
      </c>
      <c r="G91" s="51"/>
    </row>
    <row r="92" spans="1:7">
      <c r="A92" s="9"/>
      <c r="B92" s="9" t="s">
        <v>11</v>
      </c>
      <c r="C92" s="49"/>
      <c r="D92" s="50"/>
      <c r="E92" s="50">
        <f>E9/10</f>
        <v>600.3435</v>
      </c>
      <c r="F92" s="50">
        <f t="shared" si="10"/>
        <v>0.400229</v>
      </c>
      <c r="G92" s="51"/>
    </row>
    <row r="93" spans="1:7">
      <c r="A93" s="9"/>
      <c r="B93" s="9" t="s">
        <v>12</v>
      </c>
      <c r="C93" s="49"/>
      <c r="D93" s="50"/>
      <c r="E93" s="50">
        <f>E10/11</f>
        <v>491.681818181818</v>
      </c>
      <c r="F93" s="50">
        <f t="shared" si="10"/>
        <v>0.327787878787879</v>
      </c>
      <c r="G93" s="51"/>
    </row>
    <row r="94" s="3" customFormat="1" ht="25.5" customHeight="1" spans="1:7">
      <c r="A94" s="43">
        <v>11</v>
      </c>
      <c r="B94" s="44" t="s">
        <v>47</v>
      </c>
      <c r="C94" s="45"/>
      <c r="D94" s="54"/>
      <c r="E94" s="46">
        <f>E95+E96+E97+E98+E99+E100</f>
        <v>5100.16737818182</v>
      </c>
      <c r="F94" s="47">
        <f>F95+F96+F97+F98+F99+F100</f>
        <v>3.40011158545454</v>
      </c>
      <c r="G94" s="55"/>
    </row>
    <row r="95" spans="1:7">
      <c r="A95" s="9"/>
      <c r="B95" s="9" t="s">
        <v>3</v>
      </c>
      <c r="C95" s="49">
        <v>1</v>
      </c>
      <c r="D95" s="50">
        <f>D28</f>
        <v>19242</v>
      </c>
      <c r="E95" s="50">
        <f>E3/10</f>
        <v>1924.2</v>
      </c>
      <c r="F95" s="50">
        <f t="shared" ref="F95:F100" si="11">E95/1500</f>
        <v>1.2828</v>
      </c>
      <c r="G95" s="51"/>
    </row>
    <row r="96" ht="27.6" spans="1:7">
      <c r="A96" s="15"/>
      <c r="B96" s="9" t="s">
        <v>5</v>
      </c>
      <c r="C96" s="49"/>
      <c r="D96" s="50"/>
      <c r="E96" s="50">
        <f>E4/10</f>
        <v>582.64776</v>
      </c>
      <c r="F96" s="50">
        <f t="shared" si="11"/>
        <v>0.38843184</v>
      </c>
      <c r="G96" s="51"/>
    </row>
    <row r="97" ht="28.5" customHeight="1" spans="1:7">
      <c r="A97" s="15"/>
      <c r="B97" s="15" t="s">
        <v>35</v>
      </c>
      <c r="C97" s="52"/>
      <c r="D97" s="50"/>
      <c r="E97" s="50">
        <f>E7/10</f>
        <v>386.0616</v>
      </c>
      <c r="F97" s="57">
        <f t="shared" si="11"/>
        <v>0.2573744</v>
      </c>
      <c r="G97" s="51"/>
    </row>
    <row r="98" spans="1:7">
      <c r="A98" s="9"/>
      <c r="B98" s="9" t="s">
        <v>10</v>
      </c>
      <c r="C98" s="49"/>
      <c r="D98" s="50"/>
      <c r="E98" s="50">
        <f>E8/10</f>
        <v>1115.2327</v>
      </c>
      <c r="F98" s="50">
        <f t="shared" si="11"/>
        <v>0.743488466666667</v>
      </c>
      <c r="G98" s="51"/>
    </row>
    <row r="99" spans="1:7">
      <c r="A99" s="9"/>
      <c r="B99" s="9" t="s">
        <v>11</v>
      </c>
      <c r="C99" s="49"/>
      <c r="D99" s="50"/>
      <c r="E99" s="50">
        <f>E9/10</f>
        <v>600.3435</v>
      </c>
      <c r="F99" s="50">
        <f t="shared" si="11"/>
        <v>0.400229</v>
      </c>
      <c r="G99" s="51"/>
    </row>
    <row r="100" ht="15.15" spans="1:7">
      <c r="A100" s="15"/>
      <c r="B100" s="15" t="s">
        <v>12</v>
      </c>
      <c r="C100" s="66"/>
      <c r="D100" s="57"/>
      <c r="E100" s="57">
        <f>E10/11</f>
        <v>491.681818181818</v>
      </c>
      <c r="F100" s="57">
        <f t="shared" si="11"/>
        <v>0.327787878787879</v>
      </c>
      <c r="G100" s="51"/>
    </row>
    <row r="101" s="4" customFormat="1" ht="24" customHeight="1" spans="1:9">
      <c r="A101" s="67">
        <v>12</v>
      </c>
      <c r="B101" s="68" t="s">
        <v>13</v>
      </c>
      <c r="C101" s="69" t="s">
        <v>14</v>
      </c>
      <c r="D101" s="70" t="s">
        <v>14</v>
      </c>
      <c r="E101" s="71">
        <f>E27+E34+E38+E45+E52+E59+E66+E73+E80+E87+E94</f>
        <v>76541.8332</v>
      </c>
      <c r="F101" s="72">
        <f>F27+F34+F38+F45+F52+F59+F66+F73+F80+F87+F94</f>
        <v>51.0278888</v>
      </c>
      <c r="G101" s="73">
        <f>3.4*10+17.03</f>
        <v>51.03</v>
      </c>
      <c r="I101" s="84"/>
    </row>
    <row r="102" s="4" customFormat="1" ht="22.5" customHeight="1" spans="1:7">
      <c r="A102" s="74">
        <v>13</v>
      </c>
      <c r="B102" s="75" t="s">
        <v>48</v>
      </c>
      <c r="C102" s="76"/>
      <c r="D102" s="77"/>
      <c r="E102" s="77">
        <f>E101*10%</f>
        <v>7654.18332</v>
      </c>
      <c r="F102" s="78">
        <f>E102/1500+0.01</f>
        <v>5.11278888</v>
      </c>
      <c r="G102" s="73">
        <v>5.11</v>
      </c>
    </row>
    <row r="103" s="4" customFormat="1" ht="25.5" customHeight="1" spans="1:7">
      <c r="A103" s="79">
        <v>14</v>
      </c>
      <c r="B103" s="80" t="s">
        <v>16</v>
      </c>
      <c r="C103" s="81" t="s">
        <v>14</v>
      </c>
      <c r="D103" s="82" t="s">
        <v>14</v>
      </c>
      <c r="E103" s="82">
        <f>E101+E102</f>
        <v>84196.01652</v>
      </c>
      <c r="F103" s="83">
        <f>F101+F102</f>
        <v>56.14067768</v>
      </c>
      <c r="G103" s="73">
        <f>G101+G102</f>
        <v>56.14</v>
      </c>
    </row>
  </sheetData>
  <sheetProtection password="CE28" sheet="1" objects="1"/>
  <mergeCells count="16">
    <mergeCell ref="B21:F21"/>
    <mergeCell ref="A22:F22"/>
    <mergeCell ref="B23:F23"/>
    <mergeCell ref="B24:F24"/>
    <mergeCell ref="I26:P26"/>
    <mergeCell ref="B27:D27"/>
    <mergeCell ref="B34:D34"/>
    <mergeCell ref="B38:D38"/>
    <mergeCell ref="B45:D45"/>
    <mergeCell ref="B52:D52"/>
    <mergeCell ref="B59:D59"/>
    <mergeCell ref="B66:D66"/>
    <mergeCell ref="B73:D73"/>
    <mergeCell ref="B80:D80"/>
    <mergeCell ref="B87:D87"/>
    <mergeCell ref="B94:D94"/>
  </mergeCells>
  <pageMargins left="0.708661417322835" right="0.26" top="0.37" bottom="0.15748031496063" header="0.31496062992126" footer="0.31496062992126"/>
  <pageSetup paperSize="9" scale="80" orientation="portrait" horizontalDpi="180" verticalDpi="180"/>
  <headerFooter/>
  <rowBreaks count="1" manualBreakCount="1">
    <brk id="65" max="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79282</cp:lastModifiedBy>
  <dcterms:created xsi:type="dcterms:W3CDTF">2006-09-28T05:33:00Z</dcterms:created>
  <dcterms:modified xsi:type="dcterms:W3CDTF">2024-06-11T12:01:14Z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1049-12.2.0.16909</vt:lpwstr>
  </property>
  <property fmtid="{D5CDD505-2E9C-101B-9397-08002B2CF9AE}" pid="3" name="ICV">
    <vt:lpwstr>7AE3B0F70625439A9B70E6AC0770736C</vt:lpwstr>
  </property>
</Properties>
</file>