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9320" windowHeight="11805" tabRatio="838" activeTab="1"/>
  </bookViews>
  <sheets>
    <sheet name="Учет по тек.ремонту" sheetId="1" r:id="rId1"/>
    <sheet name="Учет по содержанию" sheetId="2" r:id="rId2"/>
  </sheets>
  <externalReferences>
    <externalReference r:id="rId5"/>
  </externalReferences>
  <definedNames>
    <definedName name="_xlnm._FilterDatabase" localSheetId="1" hidden="1">'Учет по содержанию'!$B$2:$P$3</definedName>
    <definedName name="_xlnm._FilterDatabase" localSheetId="0" hidden="1">'Учет по тек.ремонту'!$B$2:$P$446</definedName>
    <definedName name="_xlnm.Print_Titles" localSheetId="1">'Учет по содержанию'!$B:$O,'Учет по содержанию'!$1:$3</definedName>
    <definedName name="_xlnm.Print_Titles" localSheetId="0">'Учет по тек.ремонту'!$B:$O,'Учет по тек.ремонту'!$1:$3</definedName>
    <definedName name="_xlnm.Print_Area" localSheetId="1">'Учет по содержанию'!$B$1:$AV$446</definedName>
    <definedName name="_xlnm.Print_Area" localSheetId="0">'Учет по тек.ремонту'!$B$1:$AY$446</definedName>
  </definedNames>
  <calcPr fullCalcOnLoad="1"/>
</workbook>
</file>

<file path=xl/sharedStrings.xml><?xml version="1.0" encoding="utf-8"?>
<sst xmlns="http://schemas.openxmlformats.org/spreadsheetml/2006/main" count="1464" uniqueCount="396">
  <si>
    <t>№ п/п</t>
  </si>
  <si>
    <t>Улица</t>
  </si>
  <si>
    <t>Общая S дома, кв.м.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</si>
  <si>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</si>
  <si>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</si>
  <si>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</si>
  <si>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</si>
  <si>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</si>
  <si>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</si>
  <si>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</si>
  <si>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</si>
  <si>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</si>
  <si>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</si>
  <si>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</si>
  <si>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</si>
  <si>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Ботаническая</t>
  </si>
  <si>
    <t>Гагарина</t>
  </si>
  <si>
    <t>Ковалева</t>
  </si>
  <si>
    <t>Комсомольская</t>
  </si>
  <si>
    <t>Шахтерская</t>
  </si>
  <si>
    <t>ИТОГО:</t>
  </si>
  <si>
    <t>Всего сумма по ф.КС-2</t>
  </si>
  <si>
    <t>№ дома, № подъезда, № квартиры</t>
  </si>
  <si>
    <t>Дата договора (срок действия)</t>
  </si>
  <si>
    <t>Период</t>
  </si>
  <si>
    <t xml:space="preserve">Факт. поступление </t>
  </si>
  <si>
    <t>тек.ремонт электросетей ООО Контакт+</t>
  </si>
  <si>
    <t>Всего сумма по Акту приемки выполн. работ</t>
  </si>
  <si>
    <t>установка железных дверей и сопутствующих работ</t>
  </si>
  <si>
    <t>Факт. начисление</t>
  </si>
  <si>
    <t>№ квартиры, подьезда</t>
  </si>
  <si>
    <t>х</t>
  </si>
  <si>
    <t>Теплоком Юг (КТСП-Н термометр сопр Pt 100, L-60 мм)</t>
  </si>
  <si>
    <t>ГУП "Ростовоблстройзаказчик" (теплосчетчик ВКТ-7 №  13269 колибровка изменений расходо-мер)</t>
  </si>
  <si>
    <t>ИП Капцова Т.С. (услуги дезинфекции)</t>
  </si>
  <si>
    <t>Кутузова</t>
  </si>
  <si>
    <t>Прочистка вентиляционных каналов (в т.ч.оплата труда с налогами)</t>
  </si>
  <si>
    <t>Ф-л ГМЭС ОАО ДонЭнерго (за работы по внутридомов.эл.сетям)</t>
  </si>
  <si>
    <t xml:space="preserve">МУП САХ (не ТБО) Вывоз дворового смета </t>
  </si>
  <si>
    <t xml:space="preserve"> ООО Пламя (услуги по проверке вентканалов)</t>
  </si>
  <si>
    <t>97А</t>
  </si>
  <si>
    <t>Криничная</t>
  </si>
  <si>
    <t>ОАО ДонЭнерго Тепловые сети (затраты на сверхнорматив. Подпиточ. Воду по отоплению)</t>
  </si>
  <si>
    <t>К. Маркса</t>
  </si>
  <si>
    <t>от 01.08.2010</t>
  </si>
  <si>
    <t>от 01.11.2009 г.</t>
  </si>
  <si>
    <t>от 04.11.2009 г.</t>
  </si>
  <si>
    <t>от 01.09.2009 г.</t>
  </si>
  <si>
    <t>от 01.01.2010 г.</t>
  </si>
  <si>
    <t>от 01.07.2010 г.</t>
  </si>
  <si>
    <t>от 01.08.2010 г.</t>
  </si>
  <si>
    <t>от 01.06.2010 г.</t>
  </si>
  <si>
    <t>от 01.12.2010 г.</t>
  </si>
  <si>
    <t>ремонт стояка и др</t>
  </si>
  <si>
    <t>ремонт кровли (мягкой, шиферной) и др</t>
  </si>
  <si>
    <t>ремонт (замена) эл. Проводки и др</t>
  </si>
  <si>
    <t>ремонт дверей и дв.коробок и др</t>
  </si>
  <si>
    <t>утепление труб и др</t>
  </si>
  <si>
    <t>установка(замена) вентелей и др</t>
  </si>
  <si>
    <t>установка (замена) сгонов и др</t>
  </si>
  <si>
    <t>Установка (замена, регулировка) унитаза и др</t>
  </si>
  <si>
    <t>Оплата труда с налогами дворникам, уборщикам лест.клет. и др.рабочим, материалы, инвентарь</t>
  </si>
  <si>
    <t>Остаток на начало и конец периода (-долг жильцов; +аванс жильцов)</t>
  </si>
  <si>
    <t>ВИДЫ ФАКТИЧЕСКИ ВЫПОЛНЕННЫХ РАБОТ ПО ф.КС-2 ПО ТЕКУЩЕМУ РЕМОНТУ МКД</t>
  </si>
  <si>
    <t>ВИДЫ ФАКТИЧЕСКИ ВЫПОЛНЕННЫХ РАБОТ по ф. КС-2 ПО СОДЕРЖАНИЮ МКД</t>
  </si>
  <si>
    <t>Костюшкина</t>
  </si>
  <si>
    <t xml:space="preserve">Гагарина </t>
  </si>
  <si>
    <t>с 1.01.11</t>
  </si>
  <si>
    <t>с 1.01.09</t>
  </si>
  <si>
    <t>с 1.09.09</t>
  </si>
  <si>
    <t>с 1.01.10</t>
  </si>
  <si>
    <t>с 1.02.10</t>
  </si>
  <si>
    <t>с 1.08.10</t>
  </si>
  <si>
    <t>с 1.07.10</t>
  </si>
  <si>
    <t>с 1.12.10</t>
  </si>
  <si>
    <t>x</t>
  </si>
  <si>
    <t>Установка общедомового прибора учета эл.энергии ГМЭС</t>
  </si>
  <si>
    <t>нет нач. из-за КР</t>
  </si>
  <si>
    <t>с 1.09.10 по 31.08.13</t>
  </si>
  <si>
    <t>с 1.03.11</t>
  </si>
  <si>
    <t>Электромонтажные работы</t>
  </si>
  <si>
    <t>ремонт системы канализации и др</t>
  </si>
  <si>
    <t>ремонт системы отопления и др.</t>
  </si>
  <si>
    <t>Установка металических решеток</t>
  </si>
  <si>
    <t>Сантехнические работы</t>
  </si>
  <si>
    <t>Водоотлив из подвала электрическим насосом</t>
  </si>
  <si>
    <t>Выкашивание газонов</t>
  </si>
  <si>
    <t>ИП Иванов С.П. (термопреобразователи сопротивления КТСП)</t>
  </si>
  <si>
    <t>с 01.08.2011</t>
  </si>
  <si>
    <t xml:space="preserve"> ГМЭС (электромонтажные работы по восстановлению кабеля КЛ 0,4 квт)</t>
  </si>
  <si>
    <t>ООО "Росгидромонтаж" (установка УУТЭ)</t>
  </si>
  <si>
    <t>Ф-л ГМЭС ОАО ДонЭнерго (услуги по проверке тех. Состоянтя 3-х фазн. счетчиков)</t>
  </si>
  <si>
    <t>УУТЭ - ВКТ-701 ВЭПС-ТИ</t>
  </si>
  <si>
    <t>ЭУ - Меркурий 230</t>
  </si>
  <si>
    <t>ОПУ ХВС - ВСКМ 90-50</t>
  </si>
  <si>
    <t xml:space="preserve">УУТЭ </t>
  </si>
  <si>
    <t>ЭУУ -ГР 6803В</t>
  </si>
  <si>
    <t>ОПУ ХВС</t>
  </si>
  <si>
    <t xml:space="preserve">ЭУ </t>
  </si>
  <si>
    <t>ООО "Теплоком Юг" (НП-4А пульт накопительный для сбора информ. о показ.  общедом. приборов учета тепловой энергии)</t>
  </si>
  <si>
    <t xml:space="preserve">ЭУ - Меркурий 230                </t>
  </si>
  <si>
    <t>ЭУ  № 07060618</t>
  </si>
  <si>
    <t>ЭУ  № 07046318</t>
  </si>
  <si>
    <t>ЭУ  № 03942992</t>
  </si>
  <si>
    <t>ЭУ № 0711170604223247</t>
  </si>
  <si>
    <t>с 01.09.2011</t>
  </si>
  <si>
    <t>от 01.01.2011</t>
  </si>
  <si>
    <t>от 01.09.2011</t>
  </si>
  <si>
    <t>от 01.10.2011</t>
  </si>
  <si>
    <t>индивидуальное отопление</t>
  </si>
  <si>
    <t>Фактич. поступление 5% софин. собств. по кап. рем. подъездов 2010 г.</t>
  </si>
  <si>
    <t>Валка деревьев в городских условиях</t>
  </si>
  <si>
    <t>ОПУ ХВС - ВСКМ90-50 № 104247,09</t>
  </si>
  <si>
    <t>ОПУ ХВС - ВСКМ90-50 № 030519,09</t>
  </si>
  <si>
    <t>ОПУ ХВС - ВСКМ90-50 № 042546</t>
  </si>
  <si>
    <t>ОПУ ХВС - ВСКМ90-40 № 045516</t>
  </si>
  <si>
    <t>ОПУ ХВС - ВСКМ90-50 № 043736</t>
  </si>
  <si>
    <t>ВКГ-40 № 4100266</t>
  </si>
  <si>
    <t>ВСКМ-90-50 № 043720</t>
  </si>
  <si>
    <t>ОСВХ-40 № 053222/2010</t>
  </si>
  <si>
    <t>СКБ-40 № 47503,09</t>
  </si>
  <si>
    <t>СКБ-40 № 25953,08</t>
  </si>
  <si>
    <t>ОСВХ-40 № 093611</t>
  </si>
  <si>
    <t>ВСКМ-90-50 № 104248</t>
  </si>
  <si>
    <t>ЭУ - Меркурий 230 № 001139954</t>
  </si>
  <si>
    <t>ЭУ - Меркурий 230 № 01181788</t>
  </si>
  <si>
    <t>ВСКМ-90-50 № 104897</t>
  </si>
  <si>
    <t>ЭУ - Меркурий 230 № 0711170604227536</t>
  </si>
  <si>
    <t>ВСКМ-90-20 № 054783</t>
  </si>
  <si>
    <t>ОСВХ-25№ 238148</t>
  </si>
  <si>
    <t>ВСКМ 90-25 № 089974,08</t>
  </si>
  <si>
    <t>ОСВХ- 40 № 045341/2009</t>
  </si>
  <si>
    <t>ВСКМ 90-50 № 030497</t>
  </si>
  <si>
    <t>ВСКМ 90-50 № 104147</t>
  </si>
  <si>
    <t>ЭУ - Меркурий 230 № 07062541</t>
  </si>
  <si>
    <t>ЭУ - Меркурий 230 № 001162483</t>
  </si>
  <si>
    <t>ЭУ - Меркурий 230 № 07051375</t>
  </si>
  <si>
    <t>ЭУ - Меркурий 230 № 07051339</t>
  </si>
  <si>
    <t>ЭУ - Меркурий 230 № 01710475</t>
  </si>
  <si>
    <t>ЭУ - Меркурий 200.04 № 01524095</t>
  </si>
  <si>
    <t>ЭУ - Меркурий 230 № 07060607</t>
  </si>
  <si>
    <t>ЭУ - Меркурий 230 № 07046473</t>
  </si>
  <si>
    <t>Смена ламп накаливания, электросчетчиков</t>
  </si>
  <si>
    <t xml:space="preserve">2-ая Советская </t>
  </si>
  <si>
    <t>2-а</t>
  </si>
  <si>
    <t>от</t>
  </si>
  <si>
    <t>ремонт козырьков и балконов</t>
  </si>
  <si>
    <t>ЭУ - Меркурий 230 АМ-03 № 05404673</t>
  </si>
  <si>
    <t>от 02.08.2011</t>
  </si>
  <si>
    <t>от 29.12.2010</t>
  </si>
  <si>
    <t>ЭУ Меркуприй 230 АВТ-03 № 07060596</t>
  </si>
  <si>
    <t>ЭУ Меркуприй 230 АМ-03 № 03982234</t>
  </si>
  <si>
    <t>Устройство мелких покрытий (брандмауэры, парапеты, свесы и т.п.) из листовой оцинкованной стали (водоотбойная лента над газовой трубой)</t>
  </si>
  <si>
    <t>Монтаж связей и распорок из одиночных и парных уголков, гнутосварных профилей (перил на входе в подъезд)</t>
  </si>
  <si>
    <t>Регулировка смывного бочка, промывка водой трубопроводов</t>
  </si>
  <si>
    <t>Очистка дворовой, внутренней канализ.сети (в т.ч. оплата труда с налогами)</t>
  </si>
  <si>
    <t>Ремонт дверного полотна, смена дверных приборов (пружины,ручки)</t>
  </si>
  <si>
    <r>
      <t xml:space="preserve">2. АНАЛИТИЧЕСКИЙ УЧЕТ ФАКТИЧЕСКИ ВЫПОЛНЕННЫХ РАБОТ В МНОГОКВАРТИРНЫХ ДОМАХ </t>
    </r>
    <r>
      <rPr>
        <b/>
        <i/>
        <sz val="11"/>
        <color indexed="10"/>
        <rFont val="Arial"/>
        <family val="2"/>
      </rPr>
      <t>ПО СОДЕРЖАНИЮ ЖИЛИЩНОГО ФОНДА В 2012 ГОДУ</t>
    </r>
    <r>
      <rPr>
        <b/>
        <i/>
        <sz val="11"/>
        <rFont val="Arial"/>
        <family val="2"/>
      </rPr>
      <t>.</t>
    </r>
  </si>
  <si>
    <r>
      <t xml:space="preserve">1. АНАЛИТИЧЕСКИЙ УЧЕТ ФАКТИЧЕСКИ ВЫПОЛНЕННЫХ РАБОТ В МНОГОКВАРТИРНЫХ ДОМАХ </t>
    </r>
    <r>
      <rPr>
        <b/>
        <i/>
        <sz val="10"/>
        <color indexed="10"/>
        <rFont val="Arial"/>
        <family val="2"/>
      </rPr>
      <t>ПО ТЕКУЩЕМУ РЕМОНТУ В 2012 ГОДУ</t>
    </r>
    <r>
      <rPr>
        <b/>
        <i/>
        <sz val="10"/>
        <rFont val="Arial"/>
        <family val="2"/>
      </rPr>
      <t>.</t>
    </r>
  </si>
  <si>
    <t xml:space="preserve">К. Маркса </t>
  </si>
  <si>
    <t>Филиал "Гуковогоргаз" ОАО "Ростовоблгаз" тех. обслуживание объектов газового хозяйства</t>
  </si>
  <si>
    <t>кв.116, 36, 39, 95, 126, 128</t>
  </si>
  <si>
    <t>кв. 15</t>
  </si>
  <si>
    <t>кв. 34,58,55,52</t>
  </si>
  <si>
    <t>кв.33</t>
  </si>
  <si>
    <t>кв.2,33</t>
  </si>
  <si>
    <t>ремонт подъездов, остекление (штукатурка) и др</t>
  </si>
  <si>
    <t>кв.63, 62, 33, 34</t>
  </si>
  <si>
    <t>кв. 41</t>
  </si>
  <si>
    <t>кв. 3</t>
  </si>
  <si>
    <t>кв. 31</t>
  </si>
  <si>
    <t>кв. 31, 49</t>
  </si>
  <si>
    <t>кв.4</t>
  </si>
  <si>
    <t>кв. 72, 90, 104, 107, 109, 103</t>
  </si>
  <si>
    <t>кв. 8</t>
  </si>
  <si>
    <t>кв. 36</t>
  </si>
  <si>
    <t>кв. 63</t>
  </si>
  <si>
    <t>кв. 49</t>
  </si>
  <si>
    <t>кв. 1, 35</t>
  </si>
  <si>
    <t>кв. 36, 15</t>
  </si>
  <si>
    <t>кв. 21, 98, 82, 86, 93</t>
  </si>
  <si>
    <t>кв. 1</t>
  </si>
  <si>
    <t>кв. 2</t>
  </si>
  <si>
    <t>кв. 38</t>
  </si>
  <si>
    <t>кв. 130</t>
  </si>
  <si>
    <t xml:space="preserve">кв. 130, 8, 81, </t>
  </si>
  <si>
    <t>ремонт окон, остекление и ок.коробок и др</t>
  </si>
  <si>
    <t>под. 12, 14, 15, кв. 3</t>
  </si>
  <si>
    <t>кв. 37</t>
  </si>
  <si>
    <t>Очистка крыш от слежавшнгося снега со збрасыванием сосулек</t>
  </si>
  <si>
    <t>кв. 48</t>
  </si>
  <si>
    <t>под. 1, кв. 15</t>
  </si>
  <si>
    <t>кв. 141, 109</t>
  </si>
  <si>
    <t>под. 1, кв. 4</t>
  </si>
  <si>
    <t>кв. 70</t>
  </si>
  <si>
    <t>кв. 110</t>
  </si>
  <si>
    <t>кв. 36, 57, 38</t>
  </si>
  <si>
    <t>кв. 36, 58, 62</t>
  </si>
  <si>
    <t>кв. 13, 16</t>
  </si>
  <si>
    <t>ремонт (замена, отогрев) системы водоснабжения и др.</t>
  </si>
  <si>
    <t>кв. 32</t>
  </si>
  <si>
    <t>кв. 25</t>
  </si>
  <si>
    <t>кв. 10,11</t>
  </si>
  <si>
    <t>Установка дверных приборов</t>
  </si>
  <si>
    <t>кв. 89</t>
  </si>
  <si>
    <t>кв. 20</t>
  </si>
  <si>
    <t>кв. 52</t>
  </si>
  <si>
    <t>кв. 2, 81, 95</t>
  </si>
  <si>
    <t>кв. 26</t>
  </si>
  <si>
    <t>кв. 23</t>
  </si>
  <si>
    <t>кв. 28</t>
  </si>
  <si>
    <t>кв. 61</t>
  </si>
  <si>
    <t>кв. 13</t>
  </si>
  <si>
    <t>кв. 4</t>
  </si>
  <si>
    <t>кв. 45</t>
  </si>
  <si>
    <t>кв. 37, 38, 36, 44</t>
  </si>
  <si>
    <t>кв. 37, 36, 44</t>
  </si>
  <si>
    <t>кв. 81</t>
  </si>
  <si>
    <t>кв. 11, 12, 2, 43</t>
  </si>
  <si>
    <t>кв. 79, 82, 81, 124</t>
  </si>
  <si>
    <t>кв. 22, 36</t>
  </si>
  <si>
    <t>кв. 16</t>
  </si>
  <si>
    <t>кв. 40, 16, 17</t>
  </si>
  <si>
    <t>кв. 20, 9, 17</t>
  </si>
  <si>
    <t>кв. 126, 127, 91, 27, 55</t>
  </si>
  <si>
    <t>кв. 74, 115, 128, 25</t>
  </si>
  <si>
    <t>кв. 65</t>
  </si>
  <si>
    <t>кв. 59</t>
  </si>
  <si>
    <t>кв. 9</t>
  </si>
  <si>
    <t>кв. 20,36</t>
  </si>
  <si>
    <t>кв. 11,40</t>
  </si>
  <si>
    <t>кв. 31, 27, 24, 49</t>
  </si>
  <si>
    <t>кв. 62, 32</t>
  </si>
  <si>
    <t>от 01.03.2012</t>
  </si>
  <si>
    <t>от 01.04.2012</t>
  </si>
  <si>
    <t>под. 4</t>
  </si>
  <si>
    <t>кв. 11</t>
  </si>
  <si>
    <t>кв. 67</t>
  </si>
  <si>
    <t>Общестроительные работы: установка окон Липчанская</t>
  </si>
  <si>
    <t>К.Маркса</t>
  </si>
  <si>
    <t>Харченко</t>
  </si>
  <si>
    <t>кв. 20, кв. 7</t>
  </si>
  <si>
    <t>кв. 27, кв. 28</t>
  </si>
  <si>
    <t>кв. 34</t>
  </si>
  <si>
    <t>кв. 4, 8, 12</t>
  </si>
  <si>
    <t>кв. 10</t>
  </si>
  <si>
    <t>кв. 22</t>
  </si>
  <si>
    <t>кв. 3, кв. 31,32</t>
  </si>
  <si>
    <t>кв. 57, 27, 60, 62, 28</t>
  </si>
  <si>
    <t>кв. 59, 46</t>
  </si>
  <si>
    <t>кв. 1, 5, 7, 8</t>
  </si>
  <si>
    <t xml:space="preserve">кв. 55, 1, 2, 3; 1 под. </t>
  </si>
  <si>
    <t>Перевозка грунта</t>
  </si>
  <si>
    <t>кв. 14</t>
  </si>
  <si>
    <t>3, 5 под.</t>
  </si>
  <si>
    <t>4 под.</t>
  </si>
  <si>
    <t>под. 1</t>
  </si>
  <si>
    <t>Установка детской площадки, ограждение газонов</t>
  </si>
  <si>
    <t>кв. 27, кв. 57, 50, 104</t>
  </si>
  <si>
    <t>кв. 18, 21, 24, 30</t>
  </si>
  <si>
    <t>Установка площадки для подъезда автомобилей, планировка площадей</t>
  </si>
  <si>
    <t>кв. 3, 46</t>
  </si>
  <si>
    <t>Установка металлической двери с домофоном</t>
  </si>
  <si>
    <t>кв. 46</t>
  </si>
  <si>
    <t>кв. 6</t>
  </si>
  <si>
    <t>кв. 19</t>
  </si>
  <si>
    <t>кв. 26, 28</t>
  </si>
  <si>
    <t>кв. 58</t>
  </si>
  <si>
    <t>Штукатурка откосов</t>
  </si>
  <si>
    <t>Общестроительные работы</t>
  </si>
  <si>
    <t>4 подъезд</t>
  </si>
  <si>
    <t>3 подъезд</t>
  </si>
  <si>
    <t>кв. 53</t>
  </si>
  <si>
    <t>кв. 17, кв. 25</t>
  </si>
  <si>
    <t>кв. 33</t>
  </si>
  <si>
    <t>кв. 12, кв. 17</t>
  </si>
  <si>
    <t>кв. 19, кв. 60</t>
  </si>
  <si>
    <t>кв. 7</t>
  </si>
  <si>
    <t>кв. 9, кв. 16</t>
  </si>
  <si>
    <t>Установка, окраска лавочек, урн, перил, бельевых стоек, ограждение лестничных площадок перилами, доски объявлений)</t>
  </si>
  <si>
    <t>Очистка помещений от строительного и бытового мусора, перевозка, погрузка</t>
  </si>
  <si>
    <t>подъезд 3</t>
  </si>
  <si>
    <t>Ремонт входов в подъезд, ограждение газонов</t>
  </si>
  <si>
    <t>кв. 69, 71, 74</t>
  </si>
  <si>
    <t>кв. 36, 1, 4</t>
  </si>
  <si>
    <t>кв. 65, 66</t>
  </si>
  <si>
    <t>Прочистка вент. Каналов соб.силами, Укладка трубопров. Вент.</t>
  </si>
  <si>
    <t>кв. 65, кв. 61, кв. 44</t>
  </si>
  <si>
    <t>кв. 1, 6</t>
  </si>
  <si>
    <t>кв. 20, 24</t>
  </si>
  <si>
    <t>кв. 91</t>
  </si>
  <si>
    <t>кв. 68</t>
  </si>
  <si>
    <t>заделка штроб, заполнение бетоном отд. мест и др</t>
  </si>
  <si>
    <t>кв. 54</t>
  </si>
  <si>
    <t>кв. 46, 6, 33</t>
  </si>
  <si>
    <t>кв. 12, 52</t>
  </si>
  <si>
    <t xml:space="preserve">кв.43, </t>
  </si>
  <si>
    <t>кв. 21, 24, 27, 30</t>
  </si>
  <si>
    <t>кв. 63, 91, подъезд 9</t>
  </si>
  <si>
    <t>кв. 110, 111</t>
  </si>
  <si>
    <t>кв. 98, 36</t>
  </si>
  <si>
    <t>ОАО Донэнерго Тепловые сети (соглосование технических условий на установку УУТЭ)</t>
  </si>
  <si>
    <t>1 под., 6под., 4под.</t>
  </si>
  <si>
    <t>кв.87</t>
  </si>
  <si>
    <t>кв.4, 1под., 2под.</t>
  </si>
  <si>
    <t>подвал</t>
  </si>
  <si>
    <t>кв.16</t>
  </si>
  <si>
    <t>2под.</t>
  </si>
  <si>
    <t>Устранение течи водопровода</t>
  </si>
  <si>
    <t>кв.36, кв.60, кв.39; подвал</t>
  </si>
  <si>
    <t>кв.41, 4под.</t>
  </si>
  <si>
    <t>кв.19,21,22; кв.32</t>
  </si>
  <si>
    <t>кв.14, подвал</t>
  </si>
  <si>
    <t>1под.</t>
  </si>
  <si>
    <t>кв.9; 1под.</t>
  </si>
  <si>
    <t>кв.38</t>
  </si>
  <si>
    <t>кв.27, 29; 3под.</t>
  </si>
  <si>
    <t>кв.70, 5под.</t>
  </si>
  <si>
    <t>кв.97</t>
  </si>
  <si>
    <t>кв. 44 ,кв.26</t>
  </si>
  <si>
    <t>Другие поступления</t>
  </si>
  <si>
    <t>входы в подъезды</t>
  </si>
  <si>
    <t>кв.109</t>
  </si>
  <si>
    <t>кв.133, 109, 112, 118</t>
  </si>
  <si>
    <t>подвал, 9под.</t>
  </si>
  <si>
    <t>кв.98</t>
  </si>
  <si>
    <t>1под., кв.42,44,52,54</t>
  </si>
  <si>
    <t>кв.53, 51, 20</t>
  </si>
  <si>
    <t>кв.63, 2под.,</t>
  </si>
  <si>
    <t>чердак 3 под., кв.98</t>
  </si>
  <si>
    <t>кв.52,54</t>
  </si>
  <si>
    <t>кв.70</t>
  </si>
  <si>
    <t xml:space="preserve">подъезд </t>
  </si>
  <si>
    <t>кв.12</t>
  </si>
  <si>
    <t>кв.18</t>
  </si>
  <si>
    <t>кв.20</t>
  </si>
  <si>
    <t>кв.32,8.19</t>
  </si>
  <si>
    <t>1 под.,кв.16</t>
  </si>
  <si>
    <t>кв.14</t>
  </si>
  <si>
    <t>кв.11</t>
  </si>
  <si>
    <t>кв.42,34</t>
  </si>
  <si>
    <t>Рентабельность 2009 г. 10 %</t>
  </si>
  <si>
    <t>Рентабельность 2010 г. 10 %</t>
  </si>
  <si>
    <t>Рентабельность 2011 г. 5 %</t>
  </si>
  <si>
    <t>Рентабельность 2012 г. 5 %</t>
  </si>
  <si>
    <t>кв.61</t>
  </si>
  <si>
    <t>кв.52</t>
  </si>
  <si>
    <t>кв.3, 51, 53, подвал</t>
  </si>
  <si>
    <t>кв.7</t>
  </si>
  <si>
    <t>кв.52, 67</t>
  </si>
  <si>
    <t>кв.65, 10, 25</t>
  </si>
  <si>
    <t>кв.48</t>
  </si>
  <si>
    <t>кв.137, подвал</t>
  </si>
  <si>
    <t>кв.53, 36, 63</t>
  </si>
  <si>
    <t>кв.53, 86, 98, 135, 126</t>
  </si>
  <si>
    <t>остаток 2011 г.</t>
  </si>
  <si>
    <t>ремонт кровли (мягкой, шиферной) и утепление чердака</t>
  </si>
  <si>
    <t>кв.51</t>
  </si>
  <si>
    <t>4под., кв.66</t>
  </si>
  <si>
    <t>кв.90</t>
  </si>
  <si>
    <t>кв.68,69</t>
  </si>
  <si>
    <t>кв.90,69,73,75</t>
  </si>
  <si>
    <t>кв.24,46</t>
  </si>
  <si>
    <t>кв.14,104</t>
  </si>
  <si>
    <t>кв.23,50</t>
  </si>
  <si>
    <t>кв.9</t>
  </si>
  <si>
    <t>кв.4,14</t>
  </si>
  <si>
    <t>кв.26</t>
  </si>
  <si>
    <t>ООО Континент (услуги по предоставлению строительной техники)</t>
  </si>
  <si>
    <t>ООО "Черметальянс" (изготовление мусорных баков)</t>
  </si>
  <si>
    <t>Подготовка документации к капремонту (ГУПТИ РО, КП РО, энергоаудит)</t>
  </si>
  <si>
    <t>кв.14,30</t>
  </si>
  <si>
    <t>кв.34</t>
  </si>
  <si>
    <t>кв.2</t>
  </si>
  <si>
    <t>кв.25, 1под.,кв.51,55</t>
  </si>
  <si>
    <t>кв.12,кв.24</t>
  </si>
  <si>
    <t>кв.21,26</t>
  </si>
  <si>
    <t>кв.140,28</t>
  </si>
  <si>
    <t>кв.45</t>
  </si>
  <si>
    <t>кв.17</t>
  </si>
  <si>
    <t>кв. 20,22,16</t>
  </si>
  <si>
    <t>кв.24</t>
  </si>
  <si>
    <t>кв.28,43,60</t>
  </si>
  <si>
    <t>кв.8;подв.;1,2,3,4 под.</t>
  </si>
  <si>
    <t>3под.</t>
  </si>
  <si>
    <t>под.2,3</t>
  </si>
  <si>
    <t>кв.33, 8,19</t>
  </si>
  <si>
    <t>кв.8,45, 4под.</t>
  </si>
  <si>
    <t>2под.,подвал</t>
  </si>
  <si>
    <t>кв. 40, 33, 34, 35</t>
  </si>
  <si>
    <t>4под.</t>
  </si>
  <si>
    <t>поступ всего,</t>
  </si>
  <si>
    <t>вып раб по кс</t>
  </si>
  <si>
    <t>рентаб</t>
  </si>
  <si>
    <t>остаток на конец года</t>
  </si>
  <si>
    <t>разница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</si>
</sst>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0000000"/>
    <numFmt numFmtId="202" formatCode="0.0"/>
    <numFmt numFmtId="203" formatCode="0.0%"/>
    <numFmt numFmtId="204" formatCode="0.000000000"/>
    <numFmt numFmtId="205" formatCode="0.000000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&quot;г.&quot;"/>
  </numFmts>
  <fonts count="6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6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" fontId="5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4" fontId="6" fillId="0" borderId="11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6" fillId="0" borderId="13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4" fontId="5" fillId="0" borderId="11" xfId="0" applyNumberFormat="1" applyFont="1" applyBorder="1" applyAlignment="1" applyProtection="1">
      <alignment/>
      <protection locked="0"/>
    </xf>
    <xf numFmtId="4" fontId="5" fillId="0" borderId="10" xfId="0" applyNumberFormat="1" applyFont="1" applyBorder="1" applyAlignment="1" applyProtection="1">
      <alignment/>
      <protection locked="0"/>
    </xf>
    <xf numFmtId="4" fontId="5" fillId="0" borderId="13" xfId="0" applyNumberFormat="1" applyFont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wrapText="1"/>
      <protection locked="0"/>
    </xf>
    <xf numFmtId="0" fontId="7" fillId="0" borderId="12" xfId="0" applyFont="1" applyFill="1" applyBorder="1" applyAlignment="1" applyProtection="1">
      <alignment horizontal="center" wrapText="1"/>
      <protection locked="0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 vertical="top" wrapText="1"/>
      <protection locked="0"/>
    </xf>
    <xf numFmtId="4" fontId="6" fillId="0" borderId="10" xfId="0" applyNumberFormat="1" applyFont="1" applyFill="1" applyBorder="1" applyAlignment="1" applyProtection="1">
      <alignment horizontal="right" vertical="top" wrapText="1"/>
      <protection locked="0"/>
    </xf>
    <xf numFmtId="4" fontId="6" fillId="0" borderId="13" xfId="0" applyNumberFormat="1" applyFont="1" applyFill="1" applyBorder="1" applyAlignment="1" applyProtection="1">
      <alignment horizontal="right" vertical="top" wrapText="1"/>
      <protection locked="0"/>
    </xf>
    <xf numFmtId="4" fontId="5" fillId="33" borderId="11" xfId="0" applyNumberFormat="1" applyFont="1" applyFill="1" applyBorder="1" applyAlignment="1" applyProtection="1">
      <alignment/>
      <protection locked="0"/>
    </xf>
    <xf numFmtId="4" fontId="5" fillId="33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Border="1" applyAlignment="1" applyProtection="1">
      <alignment/>
      <protection locked="0"/>
    </xf>
    <xf numFmtId="4" fontId="6" fillId="0" borderId="10" xfId="0" applyNumberFormat="1" applyFont="1" applyFill="1" applyBorder="1" applyAlignment="1" applyProtection="1">
      <alignment horizontal="right" wrapText="1"/>
      <protection locked="0"/>
    </xf>
    <xf numFmtId="4" fontId="5" fillId="0" borderId="10" xfId="0" applyNumberFormat="1" applyFont="1" applyFill="1" applyBorder="1" applyAlignment="1" applyProtection="1">
      <alignment/>
      <protection locked="0"/>
    </xf>
    <xf numFmtId="4" fontId="5" fillId="0" borderId="13" xfId="0" applyNumberFormat="1" applyFont="1" applyFill="1" applyBorder="1" applyAlignment="1" applyProtection="1">
      <alignment/>
      <protection locked="0"/>
    </xf>
    <xf numFmtId="4" fontId="4" fillId="0" borderId="12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6" fillId="0" borderId="0" xfId="0" applyFont="1" applyAlignment="1">
      <alignment wrapText="1"/>
    </xf>
    <xf numFmtId="4" fontId="5" fillId="0" borderId="0" xfId="0" applyNumberFormat="1" applyFont="1" applyAlignment="1">
      <alignment/>
    </xf>
    <xf numFmtId="4" fontId="4" fillId="33" borderId="1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Alignment="1">
      <alignment/>
    </xf>
    <xf numFmtId="4" fontId="4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>
      <alignment horizontal="left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4" fontId="6" fillId="0" borderId="19" xfId="0" applyNumberFormat="1" applyFont="1" applyFill="1" applyBorder="1" applyAlignment="1" applyProtection="1">
      <alignment horizontal="right" vertical="top" wrapText="1"/>
      <protection locked="0"/>
    </xf>
    <xf numFmtId="4" fontId="6" fillId="0" borderId="19" xfId="0" applyNumberFormat="1" applyFont="1" applyFill="1" applyBorder="1" applyAlignment="1">
      <alignment horizontal="right" vertical="top" wrapText="1"/>
    </xf>
    <xf numFmtId="0" fontId="12" fillId="0" borderId="16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/>
    </xf>
    <xf numFmtId="4" fontId="15" fillId="0" borderId="10" xfId="0" applyNumberFormat="1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" fontId="5" fillId="0" borderId="13" xfId="0" applyNumberFormat="1" applyFont="1" applyFill="1" applyBorder="1" applyAlignment="1">
      <alignment/>
    </xf>
    <xf numFmtId="2" fontId="5" fillId="0" borderId="10" xfId="0" applyNumberFormat="1" applyFont="1" applyFill="1" applyBorder="1" applyAlignment="1" applyProtection="1">
      <alignment wrapText="1"/>
      <protection locked="0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4" fontId="4" fillId="0" borderId="12" xfId="0" applyNumberFormat="1" applyFont="1" applyFill="1" applyBorder="1" applyAlignment="1" applyProtection="1">
      <alignment horizontal="right" vertical="top" wrapText="1"/>
      <protection locked="0"/>
    </xf>
    <xf numFmtId="4" fontId="5" fillId="0" borderId="11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5" fillId="0" borderId="13" xfId="0" applyNumberFormat="1" applyFont="1" applyFill="1" applyBorder="1" applyAlignment="1">
      <alignment horizontal="right" vertical="top" wrapText="1"/>
    </xf>
    <xf numFmtId="0" fontId="10" fillId="0" borderId="10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/>
      <protection locked="0"/>
    </xf>
    <xf numFmtId="4" fontId="4" fillId="0" borderId="12" xfId="0" applyNumberFormat="1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left" vertical="center"/>
    </xf>
    <xf numFmtId="4" fontId="4" fillId="0" borderId="12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left" vertical="center"/>
    </xf>
    <xf numFmtId="4" fontId="5" fillId="0" borderId="11" xfId="0" applyNumberFormat="1" applyFont="1" applyFill="1" applyBorder="1" applyAlignment="1">
      <alignment horizontal="left" vertical="center"/>
    </xf>
    <xf numFmtId="4" fontId="5" fillId="0" borderId="13" xfId="0" applyNumberFormat="1" applyFont="1" applyFill="1" applyBorder="1" applyAlignment="1">
      <alignment horizontal="left" vertical="center"/>
    </xf>
    <xf numFmtId="4" fontId="4" fillId="0" borderId="16" xfId="0" applyNumberFormat="1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Alignment="1">
      <alignment/>
    </xf>
    <xf numFmtId="4" fontId="4" fillId="35" borderId="12" xfId="0" applyNumberFormat="1" applyFont="1" applyFill="1" applyBorder="1" applyAlignment="1">
      <alignment/>
    </xf>
    <xf numFmtId="4" fontId="4" fillId="35" borderId="13" xfId="0" applyNumberFormat="1" applyFont="1" applyFill="1" applyBorder="1" applyAlignment="1" applyProtection="1">
      <alignment/>
      <protection locked="0"/>
    </xf>
    <xf numFmtId="4" fontId="4" fillId="35" borderId="16" xfId="0" applyNumberFormat="1" applyFont="1" applyFill="1" applyBorder="1" applyAlignment="1">
      <alignment/>
    </xf>
    <xf numFmtId="4" fontId="9" fillId="35" borderId="12" xfId="0" applyNumberFormat="1" applyFont="1" applyFill="1" applyBorder="1" applyAlignment="1">
      <alignment/>
    </xf>
    <xf numFmtId="4" fontId="4" fillId="0" borderId="11" xfId="0" applyNumberFormat="1" applyFont="1" applyBorder="1" applyAlignment="1" applyProtection="1">
      <alignment/>
      <protection locked="0"/>
    </xf>
    <xf numFmtId="4" fontId="4" fillId="0" borderId="11" xfId="0" applyNumberFormat="1" applyFont="1" applyFill="1" applyBorder="1" applyAlignment="1" applyProtection="1">
      <alignment/>
      <protection locked="0"/>
    </xf>
    <xf numFmtId="4" fontId="4" fillId="35" borderId="13" xfId="0" applyNumberFormat="1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/>
    </xf>
    <xf numFmtId="0" fontId="0" fillId="34" borderId="20" xfId="0" applyFont="1" applyFill="1" applyBorder="1" applyAlignment="1">
      <alignment horizontal="left"/>
    </xf>
    <xf numFmtId="0" fontId="3" fillId="34" borderId="20" xfId="0" applyFont="1" applyFill="1" applyBorder="1" applyAlignment="1">
      <alignment/>
    </xf>
    <xf numFmtId="0" fontId="4" fillId="0" borderId="22" xfId="0" applyFont="1" applyFill="1" applyBorder="1" applyAlignment="1">
      <alignment horizontal="left"/>
    </xf>
    <xf numFmtId="0" fontId="10" fillId="34" borderId="2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7" fillId="0" borderId="16" xfId="0" applyFont="1" applyFill="1" applyBorder="1" applyAlignment="1">
      <alignment/>
    </xf>
    <xf numFmtId="4" fontId="9" fillId="35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 vertical="top" wrapText="1"/>
    </xf>
    <xf numFmtId="0" fontId="4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4" fillId="35" borderId="16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4" fontId="4" fillId="35" borderId="12" xfId="0" applyNumberFormat="1" applyFont="1" applyFill="1" applyBorder="1" applyAlignment="1">
      <alignment horizontal="center"/>
    </xf>
    <xf numFmtId="0" fontId="17" fillId="34" borderId="0" xfId="0" applyFont="1" applyFill="1" applyAlignment="1">
      <alignment/>
    </xf>
    <xf numFmtId="0" fontId="18" fillId="34" borderId="20" xfId="0" applyFont="1" applyFill="1" applyBorder="1" applyAlignment="1">
      <alignment/>
    </xf>
    <xf numFmtId="0" fontId="17" fillId="34" borderId="20" xfId="0" applyFont="1" applyFill="1" applyBorder="1" applyAlignment="1">
      <alignment/>
    </xf>
    <xf numFmtId="0" fontId="20" fillId="34" borderId="20" xfId="0" applyFont="1" applyFill="1" applyBorder="1" applyAlignment="1">
      <alignment/>
    </xf>
    <xf numFmtId="0" fontId="17" fillId="34" borderId="2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5" fillId="0" borderId="10" xfId="0" applyNumberFormat="1" applyFont="1" applyFill="1" applyBorder="1" applyAlignment="1">
      <alignment horizontal="left" vertical="center"/>
    </xf>
    <xf numFmtId="4" fontId="5" fillId="0" borderId="19" xfId="0" applyNumberFormat="1" applyFont="1" applyFill="1" applyBorder="1" applyAlignment="1">
      <alignment horizontal="left" vertical="center"/>
    </xf>
    <xf numFmtId="4" fontId="5" fillId="0" borderId="19" xfId="0" applyNumberFormat="1" applyFont="1" applyFill="1" applyBorder="1" applyAlignment="1" applyProtection="1">
      <alignment/>
      <protection locked="0"/>
    </xf>
    <xf numFmtId="0" fontId="62" fillId="0" borderId="10" xfId="0" applyFont="1" applyFill="1" applyBorder="1" applyAlignment="1">
      <alignment vertical="top" wrapText="1"/>
    </xf>
    <xf numFmtId="0" fontId="63" fillId="0" borderId="11" xfId="0" applyFont="1" applyBorder="1" applyAlignment="1">
      <alignment/>
    </xf>
    <xf numFmtId="0" fontId="63" fillId="0" borderId="13" xfId="0" applyFont="1" applyBorder="1" applyAlignment="1">
      <alignment/>
    </xf>
    <xf numFmtId="4" fontId="5" fillId="0" borderId="11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Border="1" applyAlignment="1">
      <alignment horizontal="right" vertical="center" wrapText="1"/>
    </xf>
    <xf numFmtId="0" fontId="5" fillId="0" borderId="10" xfId="0" applyNumberFormat="1" applyFont="1" applyFill="1" applyBorder="1" applyAlignment="1" applyProtection="1">
      <alignment/>
      <protection locked="0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0" fontId="13" fillId="0" borderId="19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4" fontId="5" fillId="0" borderId="19" xfId="0" applyNumberFormat="1" applyFont="1" applyFill="1" applyBorder="1" applyAlignment="1">
      <alignment horizontal="right" vertical="top" wrapText="1"/>
    </xf>
    <xf numFmtId="4" fontId="5" fillId="0" borderId="19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right" vertical="top" wrapText="1"/>
    </xf>
    <xf numFmtId="4" fontId="5" fillId="0" borderId="21" xfId="0" applyNumberFormat="1" applyFont="1" applyFill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21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6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6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left" vertical="top"/>
    </xf>
    <xf numFmtId="0" fontId="10" fillId="0" borderId="16" xfId="0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left"/>
    </xf>
    <xf numFmtId="0" fontId="2" fillId="35" borderId="1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35" borderId="27" xfId="0" applyFont="1" applyFill="1" applyBorder="1" applyAlignment="1">
      <alignment horizontal="left"/>
    </xf>
    <xf numFmtId="0" fontId="2" fillId="35" borderId="28" xfId="0" applyFont="1" applyFill="1" applyBorder="1" applyAlignment="1">
      <alignment horizontal="left"/>
    </xf>
    <xf numFmtId="0" fontId="2" fillId="35" borderId="29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59;&#1061;%20&#1044;&#1054;&#1050;%20&#1054;&#1054;&#1054;\&#1059;&#1063;&#1045;&#1058;%20&#1088;&#1072;&#1089;&#1095;&#1077;&#1090;&#1086;&#1074;%20&#1089;%20&#1078;&#1080;&#1083;&#1100;&#1094;&#1072;&#1084;&#1080;%20&#1082;&#1074;&#1072;&#1088;&#1090;&#1087;&#1083;&#1072;&#1090;&#1072;\&#1059;&#1095;&#1077;&#109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ет поступ"/>
      <sheetName val="Учет по тек.ремонту"/>
      <sheetName val="Учет по содержанию"/>
      <sheetName val="Учет по управлению"/>
      <sheetName val="Учет по электроэнергии"/>
      <sheetName val="Учет по ТБО"/>
      <sheetName val="Учет по КР "/>
      <sheetName val="Учет по УУТЭ"/>
    </sheetNames>
    <sheetDataSet>
      <sheetData sheetId="6"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BL483"/>
  <sheetViews>
    <sheetView view="pageBreakPreview" zoomScaleSheetLayoutView="100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Z1" sqref="AZ1:BC16384"/>
    </sheetView>
  </sheetViews>
  <sheetFormatPr defaultColWidth="9.140625" defaultRowHeight="12.75"/>
  <cols>
    <col min="1" max="1" width="2.00390625" style="0" customWidth="1"/>
    <col min="2" max="2" width="2.57421875" style="126" customWidth="1"/>
    <col min="3" max="3" width="18.7109375" style="1" customWidth="1"/>
    <col min="4" max="4" width="6.7109375" style="1" customWidth="1"/>
    <col min="5" max="5" width="26.8515625" style="126" customWidth="1"/>
    <col min="6" max="6" width="8.00390625" style="83" customWidth="1"/>
    <col min="7" max="7" width="5.28125" style="6" customWidth="1"/>
    <col min="8" max="8" width="10.8515625" style="74" customWidth="1"/>
    <col min="9" max="9" width="11.421875" style="22" bestFit="1" customWidth="1"/>
    <col min="10" max="10" width="11.421875" style="22" customWidth="1"/>
    <col min="11" max="11" width="10.140625" style="22" customWidth="1"/>
    <col min="12" max="14" width="9.8515625" style="22" customWidth="1"/>
    <col min="15" max="15" width="11.7109375" style="6" customWidth="1"/>
    <col min="16" max="16" width="25.8515625" style="111" customWidth="1"/>
    <col min="17" max="17" width="9.140625" style="6" customWidth="1"/>
    <col min="18" max="18" width="9.8515625" style="6" customWidth="1"/>
    <col min="19" max="19" width="11.421875" style="6" customWidth="1"/>
    <col min="20" max="30" width="9.140625" style="6" customWidth="1"/>
    <col min="31" max="31" width="7.421875" style="6" customWidth="1"/>
    <col min="32" max="33" width="9.140625" style="6" customWidth="1"/>
    <col min="34" max="34" width="8.57421875" style="6" customWidth="1"/>
    <col min="35" max="35" width="8.28125" style="6" customWidth="1"/>
    <col min="36" max="36" width="8.7109375" style="6" customWidth="1"/>
    <col min="37" max="37" width="9.28125" style="6" customWidth="1"/>
    <col min="38" max="38" width="9.57421875" style="6" customWidth="1"/>
    <col min="39" max="39" width="10.00390625" style="6" customWidth="1"/>
    <col min="40" max="40" width="9.7109375" style="6" customWidth="1"/>
    <col min="41" max="41" width="10.140625" style="6" customWidth="1"/>
    <col min="42" max="42" width="14.7109375" style="6" customWidth="1"/>
    <col min="43" max="43" width="10.28125" style="6" customWidth="1"/>
    <col min="44" max="44" width="10.8515625" style="6" customWidth="1"/>
    <col min="45" max="45" width="11.57421875" style="6" customWidth="1"/>
    <col min="46" max="47" width="12.00390625" style="6" customWidth="1"/>
    <col min="48" max="48" width="8.8515625" style="6" customWidth="1"/>
    <col min="49" max="49" width="10.421875" style="6" customWidth="1"/>
    <col min="50" max="50" width="13.00390625" style="6" customWidth="1"/>
    <col min="51" max="51" width="10.8515625" style="7" customWidth="1"/>
    <col min="52" max="64" width="9.140625" style="1" customWidth="1"/>
  </cols>
  <sheetData>
    <row r="1" spans="2:51" s="40" customFormat="1" ht="13.5" thickBot="1">
      <c r="B1" s="91" t="s">
        <v>158</v>
      </c>
      <c r="C1" s="134"/>
      <c r="D1" s="134"/>
      <c r="E1" s="140"/>
      <c r="F1" s="135"/>
      <c r="G1" s="134"/>
      <c r="H1" s="136"/>
      <c r="I1" s="136"/>
      <c r="J1" s="136"/>
      <c r="K1" s="136"/>
      <c r="L1" s="136"/>
      <c r="M1" s="136"/>
      <c r="N1" s="136"/>
      <c r="O1" s="134"/>
      <c r="P1" s="137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8"/>
    </row>
    <row r="2" spans="2:64" s="5" customFormat="1" ht="24.75" customHeight="1" thickTop="1">
      <c r="B2" s="225" t="s">
        <v>0</v>
      </c>
      <c r="C2" s="229" t="s">
        <v>1</v>
      </c>
      <c r="D2" s="223" t="s">
        <v>22</v>
      </c>
      <c r="E2" s="225" t="s">
        <v>23</v>
      </c>
      <c r="F2" s="221" t="s">
        <v>2</v>
      </c>
      <c r="G2" s="234" t="s">
        <v>24</v>
      </c>
      <c r="H2" s="236" t="s">
        <v>29</v>
      </c>
      <c r="I2" s="236" t="s">
        <v>25</v>
      </c>
      <c r="J2" s="227" t="s">
        <v>110</v>
      </c>
      <c r="K2" s="241" t="s">
        <v>341</v>
      </c>
      <c r="L2" s="241" t="s">
        <v>342</v>
      </c>
      <c r="M2" s="241" t="s">
        <v>343</v>
      </c>
      <c r="N2" s="241" t="s">
        <v>344</v>
      </c>
      <c r="O2" s="240" t="s">
        <v>21</v>
      </c>
      <c r="P2" s="238" t="s">
        <v>30</v>
      </c>
      <c r="Q2" s="158" t="s">
        <v>63</v>
      </c>
      <c r="R2" s="14"/>
      <c r="S2" s="14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7"/>
      <c r="AH2" s="18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5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2:51" ht="90" customHeight="1" thickBot="1">
      <c r="B3" s="226"/>
      <c r="C3" s="230"/>
      <c r="D3" s="224"/>
      <c r="E3" s="226"/>
      <c r="F3" s="222"/>
      <c r="G3" s="235"/>
      <c r="H3" s="237"/>
      <c r="I3" s="237"/>
      <c r="J3" s="228"/>
      <c r="K3" s="242"/>
      <c r="L3" s="242"/>
      <c r="M3" s="242"/>
      <c r="N3" s="242"/>
      <c r="O3" s="235"/>
      <c r="P3" s="239"/>
      <c r="Q3" s="27" t="s">
        <v>82</v>
      </c>
      <c r="R3" s="27" t="s">
        <v>199</v>
      </c>
      <c r="S3" s="27" t="s">
        <v>81</v>
      </c>
      <c r="T3" s="27" t="s">
        <v>53</v>
      </c>
      <c r="U3" s="27" t="s">
        <v>84</v>
      </c>
      <c r="V3" s="27" t="s">
        <v>146</v>
      </c>
      <c r="W3" s="27" t="s">
        <v>166</v>
      </c>
      <c r="X3" s="27" t="s">
        <v>54</v>
      </c>
      <c r="Y3" s="27" t="s">
        <v>186</v>
      </c>
      <c r="Z3" s="27" t="s">
        <v>55</v>
      </c>
      <c r="AA3" s="27" t="s">
        <v>262</v>
      </c>
      <c r="AB3" s="27" t="s">
        <v>56</v>
      </c>
      <c r="AC3" s="27" t="s">
        <v>28</v>
      </c>
      <c r="AD3" s="27" t="s">
        <v>57</v>
      </c>
      <c r="AE3" s="27" t="s">
        <v>58</v>
      </c>
      <c r="AF3" s="27" t="s">
        <v>59</v>
      </c>
      <c r="AG3" s="27" t="s">
        <v>292</v>
      </c>
      <c r="AH3" s="27" t="s">
        <v>80</v>
      </c>
      <c r="AI3" s="27" t="s">
        <v>268</v>
      </c>
      <c r="AJ3" s="27" t="s">
        <v>238</v>
      </c>
      <c r="AK3" s="27" t="s">
        <v>60</v>
      </c>
      <c r="AL3" s="27" t="s">
        <v>286</v>
      </c>
      <c r="AM3" s="27" t="s">
        <v>83</v>
      </c>
      <c r="AN3" s="27" t="s">
        <v>269</v>
      </c>
      <c r="AO3" s="27" t="s">
        <v>370</v>
      </c>
      <c r="AP3" s="27" t="s">
        <v>99</v>
      </c>
      <c r="AQ3" s="27" t="s">
        <v>90</v>
      </c>
      <c r="AR3" s="27" t="s">
        <v>89</v>
      </c>
      <c r="AS3" s="27" t="s">
        <v>87</v>
      </c>
      <c r="AT3" s="27" t="s">
        <v>76</v>
      </c>
      <c r="AU3" s="52" t="s">
        <v>33</v>
      </c>
      <c r="AV3" s="27" t="s">
        <v>32</v>
      </c>
      <c r="AW3" s="27" t="s">
        <v>26</v>
      </c>
      <c r="AX3" s="27" t="s">
        <v>160</v>
      </c>
      <c r="AY3" s="27" t="s">
        <v>62</v>
      </c>
    </row>
    <row r="4" spans="2:64" s="4" customFormat="1" ht="14.25" customHeight="1" thickBot="1" thickTop="1">
      <c r="B4" s="114">
        <v>1</v>
      </c>
      <c r="C4" s="28" t="s">
        <v>15</v>
      </c>
      <c r="D4" s="29">
        <v>13</v>
      </c>
      <c r="E4" s="141" t="s">
        <v>45</v>
      </c>
      <c r="F4" s="77">
        <v>8087.53</v>
      </c>
      <c r="G4" s="50"/>
      <c r="H4" s="69">
        <v>348117.18999999994</v>
      </c>
      <c r="I4" s="70">
        <v>310295.49</v>
      </c>
      <c r="J4" s="70">
        <f>SUM(J5:J16)</f>
        <v>0</v>
      </c>
      <c r="K4" s="69">
        <f>SUM(K5:K16)</f>
        <v>27887.09</v>
      </c>
      <c r="L4" s="69">
        <f>SUM(L5:L16)</f>
        <v>36138.59</v>
      </c>
      <c r="M4" s="69">
        <f>SUM(M5:M16)</f>
        <v>13008.9</v>
      </c>
      <c r="N4" s="69">
        <f>SUM(N5:N16)</f>
        <v>15514.7745</v>
      </c>
      <c r="O4" s="69">
        <f aca="true" t="shared" si="0" ref="O4:O67">SUM(Q4:AX4)</f>
        <v>94848</v>
      </c>
      <c r="P4" s="93"/>
      <c r="Q4" s="50">
        <f aca="true" t="shared" si="1" ref="Q4:AX4">SUM(Q5:Q16)</f>
        <v>8108</v>
      </c>
      <c r="R4" s="50">
        <f t="shared" si="1"/>
        <v>28421</v>
      </c>
      <c r="S4" s="50">
        <f t="shared" si="1"/>
        <v>16568</v>
      </c>
      <c r="T4" s="50">
        <f t="shared" si="1"/>
        <v>4805</v>
      </c>
      <c r="U4" s="50">
        <f t="shared" si="1"/>
        <v>0</v>
      </c>
      <c r="V4" s="50">
        <f t="shared" si="1"/>
        <v>9609</v>
      </c>
      <c r="W4" s="50">
        <f t="shared" si="1"/>
        <v>0</v>
      </c>
      <c r="X4" s="50">
        <f t="shared" si="1"/>
        <v>0</v>
      </c>
      <c r="Y4" s="50">
        <f t="shared" si="1"/>
        <v>108</v>
      </c>
      <c r="Z4" s="50">
        <f t="shared" si="1"/>
        <v>0</v>
      </c>
      <c r="AA4" s="50">
        <f t="shared" si="1"/>
        <v>26880</v>
      </c>
      <c r="AB4" s="50">
        <f t="shared" si="1"/>
        <v>349</v>
      </c>
      <c r="AC4" s="50">
        <f t="shared" si="1"/>
        <v>0</v>
      </c>
      <c r="AD4" s="50">
        <f t="shared" si="1"/>
        <v>0</v>
      </c>
      <c r="AE4" s="50">
        <f t="shared" si="1"/>
        <v>0</v>
      </c>
      <c r="AF4" s="50">
        <f t="shared" si="1"/>
        <v>0</v>
      </c>
      <c r="AG4" s="50">
        <f t="shared" si="1"/>
        <v>0</v>
      </c>
      <c r="AH4" s="50">
        <f t="shared" si="1"/>
        <v>0</v>
      </c>
      <c r="AI4" s="50">
        <f t="shared" si="1"/>
        <v>0</v>
      </c>
      <c r="AJ4" s="50">
        <f t="shared" si="1"/>
        <v>0</v>
      </c>
      <c r="AK4" s="50">
        <f t="shared" si="1"/>
        <v>0</v>
      </c>
      <c r="AL4" s="50">
        <f t="shared" si="1"/>
        <v>0</v>
      </c>
      <c r="AM4" s="50">
        <f t="shared" si="1"/>
        <v>0</v>
      </c>
      <c r="AN4" s="50">
        <f t="shared" si="1"/>
        <v>0</v>
      </c>
      <c r="AO4" s="50">
        <f>SUM(AO5:AO16)</f>
        <v>0</v>
      </c>
      <c r="AP4" s="50">
        <f t="shared" si="1"/>
        <v>0</v>
      </c>
      <c r="AQ4" s="50">
        <f t="shared" si="1"/>
        <v>0</v>
      </c>
      <c r="AR4" s="50">
        <f t="shared" si="1"/>
        <v>0</v>
      </c>
      <c r="AS4" s="50">
        <f>SUM(AS5:AS16)</f>
        <v>0</v>
      </c>
      <c r="AT4" s="50">
        <f>SUM(AT5:AT16)</f>
        <v>0</v>
      </c>
      <c r="AU4" s="50">
        <f>SUM(AU5:AU16)</f>
        <v>0</v>
      </c>
      <c r="AV4" s="50">
        <f t="shared" si="1"/>
        <v>0</v>
      </c>
      <c r="AW4" s="50">
        <f t="shared" si="1"/>
        <v>0</v>
      </c>
      <c r="AX4" s="50">
        <f t="shared" si="1"/>
        <v>0</v>
      </c>
      <c r="AY4" s="127">
        <v>-392244.67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2:51" ht="13.5" thickTop="1">
      <c r="B5" s="115">
        <v>1</v>
      </c>
      <c r="C5" s="30" t="s">
        <v>68</v>
      </c>
      <c r="D5" s="31"/>
      <c r="E5" s="184" t="s">
        <v>100</v>
      </c>
      <c r="F5" s="78"/>
      <c r="G5" s="9" t="s">
        <v>3</v>
      </c>
      <c r="H5" s="41">
        <v>20551.2</v>
      </c>
      <c r="I5" s="19">
        <v>14874.04</v>
      </c>
      <c r="J5" s="19"/>
      <c r="K5" s="41">
        <v>27887.09</v>
      </c>
      <c r="L5" s="41">
        <v>36138.59</v>
      </c>
      <c r="M5" s="41">
        <v>13008.9</v>
      </c>
      <c r="N5" s="41">
        <f>I5*0.05</f>
        <v>743.7020000000001</v>
      </c>
      <c r="O5" s="68">
        <f t="shared" si="0"/>
        <v>2396</v>
      </c>
      <c r="P5" s="172" t="s">
        <v>187</v>
      </c>
      <c r="Q5" s="39">
        <f>1185+621</f>
        <v>1806</v>
      </c>
      <c r="R5" s="39">
        <v>482</v>
      </c>
      <c r="S5" s="39"/>
      <c r="T5" s="39"/>
      <c r="U5" s="39"/>
      <c r="V5" s="39"/>
      <c r="W5" s="39"/>
      <c r="X5" s="39"/>
      <c r="Y5" s="39">
        <v>108</v>
      </c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131"/>
    </row>
    <row r="6" spans="2:51" ht="12.75">
      <c r="B6" s="116">
        <v>1</v>
      </c>
      <c r="C6" s="32"/>
      <c r="D6" s="33"/>
      <c r="E6" s="90" t="s">
        <v>112</v>
      </c>
      <c r="F6" s="79"/>
      <c r="G6" s="8" t="s">
        <v>4</v>
      </c>
      <c r="H6" s="42">
        <v>20551.2</v>
      </c>
      <c r="I6" s="20">
        <v>25691.84</v>
      </c>
      <c r="J6" s="20"/>
      <c r="K6" s="42"/>
      <c r="L6" s="42"/>
      <c r="M6" s="42"/>
      <c r="N6" s="41">
        <f aca="true" t="shared" si="2" ref="N6:N16">I6*0.05</f>
        <v>1284.592</v>
      </c>
      <c r="O6" s="68">
        <f t="shared" si="0"/>
        <v>9244</v>
      </c>
      <c r="P6" s="173" t="s">
        <v>192</v>
      </c>
      <c r="Q6" s="48"/>
      <c r="R6" s="48">
        <f>6489+1216</f>
        <v>7705</v>
      </c>
      <c r="S6" s="48">
        <v>1539</v>
      </c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57"/>
    </row>
    <row r="7" spans="2:51" ht="12.75">
      <c r="B7" s="116">
        <v>1</v>
      </c>
      <c r="C7" s="32"/>
      <c r="D7" s="33"/>
      <c r="E7" s="90" t="s">
        <v>113</v>
      </c>
      <c r="F7" s="79"/>
      <c r="G7" s="8" t="s">
        <v>5</v>
      </c>
      <c r="H7" s="42">
        <v>20550.18</v>
      </c>
      <c r="I7" s="20">
        <v>17725.84</v>
      </c>
      <c r="J7" s="20"/>
      <c r="K7" s="42"/>
      <c r="L7" s="42"/>
      <c r="M7" s="42"/>
      <c r="N7" s="41">
        <f t="shared" si="2"/>
        <v>886.292</v>
      </c>
      <c r="O7" s="68">
        <f t="shared" si="0"/>
        <v>1626</v>
      </c>
      <c r="P7" s="173" t="s">
        <v>204</v>
      </c>
      <c r="Q7" s="48"/>
      <c r="R7" s="48"/>
      <c r="S7" s="76">
        <v>1277</v>
      </c>
      <c r="T7" s="48"/>
      <c r="U7" s="48"/>
      <c r="V7" s="48"/>
      <c r="W7" s="48"/>
      <c r="X7" s="48"/>
      <c r="Y7" s="48"/>
      <c r="Z7" s="48"/>
      <c r="AA7" s="48"/>
      <c r="AB7" s="48">
        <v>349</v>
      </c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57"/>
    </row>
    <row r="8" spans="2:51" ht="12.75">
      <c r="B8" s="116">
        <v>1</v>
      </c>
      <c r="C8" s="32"/>
      <c r="D8" s="33"/>
      <c r="E8" s="90"/>
      <c r="F8" s="79"/>
      <c r="G8" s="8" t="s">
        <v>6</v>
      </c>
      <c r="H8" s="42">
        <v>20550.18</v>
      </c>
      <c r="I8" s="20">
        <v>19997.41</v>
      </c>
      <c r="J8" s="20"/>
      <c r="K8" s="42"/>
      <c r="L8" s="42"/>
      <c r="M8" s="42"/>
      <c r="N8" s="41">
        <f t="shared" si="2"/>
        <v>999.8705</v>
      </c>
      <c r="O8" s="68">
        <f t="shared" si="0"/>
        <v>0</v>
      </c>
      <c r="P8" s="174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57"/>
    </row>
    <row r="9" spans="2:51" ht="12.75">
      <c r="B9" s="116">
        <v>1</v>
      </c>
      <c r="C9" s="32"/>
      <c r="D9" s="33"/>
      <c r="E9" s="90"/>
      <c r="F9" s="79"/>
      <c r="G9" s="8" t="s">
        <v>7</v>
      </c>
      <c r="H9" s="42">
        <v>20550.18</v>
      </c>
      <c r="I9" s="20">
        <v>21675.71</v>
      </c>
      <c r="J9" s="20"/>
      <c r="K9" s="42"/>
      <c r="L9" s="42"/>
      <c r="M9" s="42"/>
      <c r="N9" s="41">
        <f t="shared" si="2"/>
        <v>1083.7855</v>
      </c>
      <c r="O9" s="68">
        <f t="shared" si="0"/>
        <v>10073</v>
      </c>
      <c r="P9" s="173" t="s">
        <v>258</v>
      </c>
      <c r="Q9" s="48">
        <v>2646</v>
      </c>
      <c r="R9" s="48">
        <v>7427</v>
      </c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57"/>
    </row>
    <row r="10" spans="2:51" ht="12.75">
      <c r="B10" s="116">
        <v>1</v>
      </c>
      <c r="C10" s="32"/>
      <c r="D10" s="33"/>
      <c r="E10" s="90"/>
      <c r="F10" s="79"/>
      <c r="G10" s="8" t="s">
        <v>8</v>
      </c>
      <c r="H10" s="42">
        <v>20550.18</v>
      </c>
      <c r="I10" s="20">
        <v>19217.56</v>
      </c>
      <c r="J10" s="20"/>
      <c r="K10" s="42"/>
      <c r="L10" s="42"/>
      <c r="M10" s="42"/>
      <c r="N10" s="41">
        <f t="shared" si="2"/>
        <v>960.8780000000002</v>
      </c>
      <c r="O10" s="68">
        <f t="shared" si="0"/>
        <v>562</v>
      </c>
      <c r="P10" s="173" t="s">
        <v>274</v>
      </c>
      <c r="Q10" s="48"/>
      <c r="R10" s="48">
        <v>562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57"/>
    </row>
    <row r="11" spans="2:51" ht="12.75">
      <c r="B11" s="116">
        <v>1</v>
      </c>
      <c r="C11" s="32"/>
      <c r="D11" s="33"/>
      <c r="E11" s="90"/>
      <c r="F11" s="79"/>
      <c r="G11" s="8" t="s">
        <v>9</v>
      </c>
      <c r="H11" s="42">
        <v>23058.67</v>
      </c>
      <c r="I11" s="20">
        <v>20160</v>
      </c>
      <c r="J11" s="20"/>
      <c r="K11" s="42"/>
      <c r="L11" s="42"/>
      <c r="M11" s="42"/>
      <c r="N11" s="41">
        <f t="shared" si="2"/>
        <v>1008</v>
      </c>
      <c r="O11" s="68">
        <f t="shared" si="0"/>
        <v>27265</v>
      </c>
      <c r="P11" s="174" t="s">
        <v>299</v>
      </c>
      <c r="Q11" s="48"/>
      <c r="R11" s="48"/>
      <c r="S11" s="48">
        <v>385</v>
      </c>
      <c r="T11" s="48"/>
      <c r="U11" s="48"/>
      <c r="V11" s="48"/>
      <c r="W11" s="48"/>
      <c r="X11" s="48"/>
      <c r="Y11" s="48"/>
      <c r="Z11" s="48"/>
      <c r="AA11" s="48">
        <f>11700+15180</f>
        <v>26880</v>
      </c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57"/>
    </row>
    <row r="12" spans="2:51" ht="12.75">
      <c r="B12" s="116">
        <v>1</v>
      </c>
      <c r="C12" s="32"/>
      <c r="D12" s="33"/>
      <c r="E12" s="90"/>
      <c r="F12" s="79"/>
      <c r="G12" s="8" t="s">
        <v>10</v>
      </c>
      <c r="H12" s="42">
        <v>23083.18</v>
      </c>
      <c r="I12" s="20">
        <v>20349.08</v>
      </c>
      <c r="J12" s="20"/>
      <c r="K12" s="42"/>
      <c r="L12" s="42"/>
      <c r="M12" s="42"/>
      <c r="N12" s="41">
        <f t="shared" si="2"/>
        <v>1017.4540000000002</v>
      </c>
      <c r="O12" s="68">
        <f t="shared" si="0"/>
        <v>0</v>
      </c>
      <c r="P12" s="173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57"/>
    </row>
    <row r="13" spans="2:51" ht="12.75">
      <c r="B13" s="116">
        <v>1</v>
      </c>
      <c r="C13" s="32"/>
      <c r="D13" s="33"/>
      <c r="E13" s="90"/>
      <c r="F13" s="79"/>
      <c r="G13" s="8" t="s">
        <v>11</v>
      </c>
      <c r="H13" s="42">
        <v>22290.26</v>
      </c>
      <c r="I13" s="20">
        <v>19081.49</v>
      </c>
      <c r="J13" s="20"/>
      <c r="K13" s="42"/>
      <c r="L13" s="42"/>
      <c r="M13" s="42"/>
      <c r="N13" s="41">
        <f t="shared" si="2"/>
        <v>954.0745000000002</v>
      </c>
      <c r="O13" s="68">
        <f t="shared" si="0"/>
        <v>9609</v>
      </c>
      <c r="P13" s="173"/>
      <c r="Q13" s="48"/>
      <c r="R13" s="48"/>
      <c r="S13" s="48"/>
      <c r="T13" s="48"/>
      <c r="U13" s="48"/>
      <c r="V13" s="48">
        <v>9609</v>
      </c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57"/>
    </row>
    <row r="14" spans="2:51" ht="12.75">
      <c r="B14" s="116">
        <v>1</v>
      </c>
      <c r="C14" s="32"/>
      <c r="D14" s="33"/>
      <c r="E14" s="90"/>
      <c r="F14" s="79"/>
      <c r="G14" s="8" t="s">
        <v>12</v>
      </c>
      <c r="H14" s="42">
        <v>65084.26</v>
      </c>
      <c r="I14" s="20">
        <v>26169.62</v>
      </c>
      <c r="J14" s="20"/>
      <c r="K14" s="42"/>
      <c r="L14" s="42"/>
      <c r="M14" s="42"/>
      <c r="N14" s="41">
        <f t="shared" si="2"/>
        <v>1308.481</v>
      </c>
      <c r="O14" s="68">
        <f t="shared" si="0"/>
        <v>28869</v>
      </c>
      <c r="P14" s="173" t="s">
        <v>323</v>
      </c>
      <c r="Q14" s="48"/>
      <c r="R14" s="48">
        <v>10697</v>
      </c>
      <c r="S14" s="48">
        <v>13367</v>
      </c>
      <c r="T14" s="48">
        <v>4805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57"/>
    </row>
    <row r="15" spans="2:51" ht="12.75">
      <c r="B15" s="116">
        <v>1</v>
      </c>
      <c r="C15" s="32"/>
      <c r="D15" s="33"/>
      <c r="E15" s="90"/>
      <c r="F15" s="79"/>
      <c r="G15" s="8" t="s">
        <v>13</v>
      </c>
      <c r="H15" s="42">
        <v>45648.85</v>
      </c>
      <c r="I15" s="20">
        <v>48270.82</v>
      </c>
      <c r="J15" s="20"/>
      <c r="K15" s="42"/>
      <c r="L15" s="42"/>
      <c r="M15" s="42"/>
      <c r="N15" s="41">
        <f t="shared" si="2"/>
        <v>2413.541</v>
      </c>
      <c r="O15" s="68">
        <f t="shared" si="0"/>
        <v>3656</v>
      </c>
      <c r="P15" s="173" t="s">
        <v>352</v>
      </c>
      <c r="Q15" s="48">
        <f>1680+1976</f>
        <v>3656</v>
      </c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57"/>
    </row>
    <row r="16" spans="2:51" ht="13.5" thickBot="1">
      <c r="B16" s="117">
        <v>1</v>
      </c>
      <c r="C16" s="34"/>
      <c r="D16" s="35"/>
      <c r="E16" s="142"/>
      <c r="F16" s="80"/>
      <c r="G16" s="12" t="s">
        <v>14</v>
      </c>
      <c r="H16" s="43">
        <v>45648.85</v>
      </c>
      <c r="I16" s="21">
        <v>57082.08</v>
      </c>
      <c r="J16" s="66"/>
      <c r="K16" s="43"/>
      <c r="L16" s="43"/>
      <c r="M16" s="43"/>
      <c r="N16" s="41">
        <f t="shared" si="2"/>
        <v>2854.1040000000003</v>
      </c>
      <c r="O16" s="68">
        <f t="shared" si="0"/>
        <v>1548</v>
      </c>
      <c r="P16" s="175"/>
      <c r="Q16" s="49"/>
      <c r="R16" s="49">
        <v>1548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128">
        <f>AY4+(I4-K4-L4-M4-N4)+J4-O4</f>
        <v>-269346.5345</v>
      </c>
    </row>
    <row r="17" spans="2:64" s="4" customFormat="1" ht="14.25" thickBot="1" thickTop="1">
      <c r="B17" s="114">
        <v>2</v>
      </c>
      <c r="C17" s="28" t="s">
        <v>15</v>
      </c>
      <c r="D17" s="29">
        <v>15</v>
      </c>
      <c r="E17" s="141" t="s">
        <v>45</v>
      </c>
      <c r="F17" s="77">
        <v>6783.7</v>
      </c>
      <c r="G17" s="50"/>
      <c r="H17" s="69">
        <v>284486.57</v>
      </c>
      <c r="I17" s="70">
        <v>250538.77</v>
      </c>
      <c r="J17" s="70">
        <f>SUM(J18:J29)</f>
        <v>0</v>
      </c>
      <c r="K17" s="69">
        <f>SUM(K18:K29)</f>
        <v>24478.45</v>
      </c>
      <c r="L17" s="69">
        <f>SUM(L18:L29)</f>
        <v>28104.04</v>
      </c>
      <c r="M17" s="69">
        <f>SUM(M18:M29)</f>
        <v>9459.61</v>
      </c>
      <c r="N17" s="69">
        <f>SUM(N18:N29)</f>
        <v>12526.938500000002</v>
      </c>
      <c r="O17" s="69">
        <f t="shared" si="0"/>
        <v>143425</v>
      </c>
      <c r="P17" s="97"/>
      <c r="Q17" s="50">
        <f aca="true" t="shared" si="3" ref="Q17:AX17">SUM(Q18:Q29)</f>
        <v>20026</v>
      </c>
      <c r="R17" s="50">
        <f t="shared" si="3"/>
        <v>48455</v>
      </c>
      <c r="S17" s="50">
        <f t="shared" si="3"/>
        <v>20339</v>
      </c>
      <c r="T17" s="50">
        <f t="shared" si="3"/>
        <v>12567</v>
      </c>
      <c r="U17" s="50">
        <f t="shared" si="3"/>
        <v>0</v>
      </c>
      <c r="V17" s="50">
        <f t="shared" si="3"/>
        <v>0</v>
      </c>
      <c r="W17" s="50">
        <f t="shared" si="3"/>
        <v>32496</v>
      </c>
      <c r="X17" s="50">
        <f t="shared" si="3"/>
        <v>2874</v>
      </c>
      <c r="Y17" s="50">
        <f t="shared" si="3"/>
        <v>354</v>
      </c>
      <c r="Z17" s="50">
        <f t="shared" si="3"/>
        <v>0</v>
      </c>
      <c r="AA17" s="50">
        <f t="shared" si="3"/>
        <v>1100</v>
      </c>
      <c r="AB17" s="50">
        <f t="shared" si="3"/>
        <v>321</v>
      </c>
      <c r="AC17" s="50">
        <f t="shared" si="3"/>
        <v>0</v>
      </c>
      <c r="AD17" s="50">
        <f t="shared" si="3"/>
        <v>1869</v>
      </c>
      <c r="AE17" s="50">
        <f t="shared" si="3"/>
        <v>0</v>
      </c>
      <c r="AF17" s="50">
        <f t="shared" si="3"/>
        <v>137</v>
      </c>
      <c r="AG17" s="50">
        <f t="shared" si="3"/>
        <v>557</v>
      </c>
      <c r="AH17" s="50">
        <f t="shared" si="3"/>
        <v>0</v>
      </c>
      <c r="AI17" s="50">
        <f t="shared" si="3"/>
        <v>0</v>
      </c>
      <c r="AJ17" s="50">
        <f t="shared" si="3"/>
        <v>0</v>
      </c>
      <c r="AK17" s="50">
        <f t="shared" si="3"/>
        <v>0</v>
      </c>
      <c r="AL17" s="50">
        <f t="shared" si="3"/>
        <v>0</v>
      </c>
      <c r="AM17" s="50">
        <f t="shared" si="3"/>
        <v>0</v>
      </c>
      <c r="AN17" s="50">
        <f t="shared" si="3"/>
        <v>2330</v>
      </c>
      <c r="AO17" s="50">
        <f>SUM(AO18:AO29)</f>
        <v>0</v>
      </c>
      <c r="AP17" s="50">
        <f t="shared" si="3"/>
        <v>0</v>
      </c>
      <c r="AQ17" s="50">
        <f t="shared" si="3"/>
        <v>0</v>
      </c>
      <c r="AR17" s="50">
        <f t="shared" si="3"/>
        <v>0</v>
      </c>
      <c r="AS17" s="50">
        <f>SUM(AS18:AS29)</f>
        <v>0</v>
      </c>
      <c r="AT17" s="50">
        <f>SUM(AT18:AT29)</f>
        <v>0</v>
      </c>
      <c r="AU17" s="50">
        <f>SUM(AU18:AU29)</f>
        <v>0</v>
      </c>
      <c r="AV17" s="50">
        <f t="shared" si="3"/>
        <v>0</v>
      </c>
      <c r="AW17" s="50">
        <f t="shared" si="3"/>
        <v>0</v>
      </c>
      <c r="AX17" s="50">
        <f t="shared" si="3"/>
        <v>0</v>
      </c>
      <c r="AY17" s="127">
        <v>-86520.69</v>
      </c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2:51" ht="13.5" thickTop="1">
      <c r="B18" s="115">
        <v>2</v>
      </c>
      <c r="C18" s="30" t="s">
        <v>68</v>
      </c>
      <c r="D18" s="31"/>
      <c r="E18" s="89" t="s">
        <v>92</v>
      </c>
      <c r="F18" s="78"/>
      <c r="G18" s="9" t="s">
        <v>3</v>
      </c>
      <c r="H18" s="41">
        <v>17213.29</v>
      </c>
      <c r="I18" s="19">
        <v>15834.28</v>
      </c>
      <c r="J18" s="19"/>
      <c r="K18" s="41">
        <v>24478.45</v>
      </c>
      <c r="L18" s="41">
        <v>28104.04</v>
      </c>
      <c r="M18" s="41">
        <v>9459.61</v>
      </c>
      <c r="N18" s="41">
        <f aca="true" t="shared" si="4" ref="N18:N29">I18*0.05</f>
        <v>791.714</v>
      </c>
      <c r="O18" s="68">
        <f t="shared" si="0"/>
        <v>13184</v>
      </c>
      <c r="P18" s="172" t="s">
        <v>185</v>
      </c>
      <c r="Q18" s="39"/>
      <c r="R18" s="39"/>
      <c r="S18" s="39">
        <v>12738</v>
      </c>
      <c r="T18" s="39"/>
      <c r="U18" s="39"/>
      <c r="V18" s="39"/>
      <c r="W18" s="39">
        <v>92</v>
      </c>
      <c r="X18" s="39"/>
      <c r="Y18" s="39">
        <v>354</v>
      </c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131"/>
    </row>
    <row r="19" spans="2:51" ht="12.75">
      <c r="B19" s="116">
        <v>2</v>
      </c>
      <c r="C19" s="37"/>
      <c r="D19" s="33"/>
      <c r="E19" s="184" t="s">
        <v>134</v>
      </c>
      <c r="F19" s="79"/>
      <c r="G19" s="8" t="s">
        <v>4</v>
      </c>
      <c r="H19" s="42">
        <v>17213.29</v>
      </c>
      <c r="I19" s="20">
        <v>19682.52</v>
      </c>
      <c r="J19" s="20"/>
      <c r="K19" s="42"/>
      <c r="L19" s="42"/>
      <c r="M19" s="42"/>
      <c r="N19" s="41">
        <f t="shared" si="4"/>
        <v>984.1260000000001</v>
      </c>
      <c r="O19" s="68">
        <f t="shared" si="0"/>
        <v>1473</v>
      </c>
      <c r="P19" s="173" t="s">
        <v>194</v>
      </c>
      <c r="Q19" s="48">
        <v>257</v>
      </c>
      <c r="R19" s="48">
        <v>1216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57"/>
    </row>
    <row r="20" spans="2:51" ht="12.75">
      <c r="B20" s="116">
        <v>2</v>
      </c>
      <c r="C20" s="37"/>
      <c r="D20" s="33"/>
      <c r="E20" s="90" t="s">
        <v>132</v>
      </c>
      <c r="F20" s="79"/>
      <c r="G20" s="8" t="s">
        <v>5</v>
      </c>
      <c r="H20" s="42">
        <v>17213.29</v>
      </c>
      <c r="I20" s="20">
        <v>13493.33</v>
      </c>
      <c r="J20" s="20"/>
      <c r="K20" s="42"/>
      <c r="L20" s="42"/>
      <c r="M20" s="42"/>
      <c r="N20" s="41">
        <f t="shared" si="4"/>
        <v>674.6665</v>
      </c>
      <c r="O20" s="68">
        <f t="shared" si="0"/>
        <v>3237</v>
      </c>
      <c r="P20" s="174" t="s">
        <v>195</v>
      </c>
      <c r="Q20" s="48"/>
      <c r="R20" s="48"/>
      <c r="S20" s="48">
        <f>1041+2196</f>
        <v>3237</v>
      </c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57"/>
    </row>
    <row r="21" spans="2:51" ht="12.75">
      <c r="B21" s="116">
        <v>2</v>
      </c>
      <c r="C21" s="37"/>
      <c r="D21" s="33"/>
      <c r="E21" s="90" t="s">
        <v>133</v>
      </c>
      <c r="F21" s="79"/>
      <c r="G21" s="8" t="s">
        <v>6</v>
      </c>
      <c r="H21" s="42">
        <v>17213.29</v>
      </c>
      <c r="I21" s="20">
        <v>14917.93</v>
      </c>
      <c r="J21" s="20"/>
      <c r="K21" s="42"/>
      <c r="L21" s="42"/>
      <c r="M21" s="42"/>
      <c r="N21" s="41">
        <f t="shared" si="4"/>
        <v>745.8965000000001</v>
      </c>
      <c r="O21" s="68">
        <f t="shared" si="0"/>
        <v>33982</v>
      </c>
      <c r="P21" s="176" t="s">
        <v>173</v>
      </c>
      <c r="Q21" s="48">
        <v>1760</v>
      </c>
      <c r="R21" s="48">
        <v>32222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57"/>
    </row>
    <row r="22" spans="2:51" ht="12.75">
      <c r="B22" s="116">
        <v>2</v>
      </c>
      <c r="C22" s="37"/>
      <c r="D22" s="33"/>
      <c r="E22" s="90"/>
      <c r="F22" s="79"/>
      <c r="G22" s="8" t="s">
        <v>7</v>
      </c>
      <c r="H22" s="42">
        <v>17213.29</v>
      </c>
      <c r="I22" s="20">
        <v>18663.88</v>
      </c>
      <c r="J22" s="20"/>
      <c r="K22" s="42"/>
      <c r="L22" s="42"/>
      <c r="M22" s="42"/>
      <c r="N22" s="41">
        <f t="shared" si="4"/>
        <v>933.1940000000001</v>
      </c>
      <c r="O22" s="68">
        <f t="shared" si="0"/>
        <v>19059</v>
      </c>
      <c r="P22" s="173" t="s">
        <v>259</v>
      </c>
      <c r="Q22" s="48"/>
      <c r="R22" s="48">
        <v>15017</v>
      </c>
      <c r="S22" s="48">
        <v>1168</v>
      </c>
      <c r="T22" s="48"/>
      <c r="U22" s="48"/>
      <c r="V22" s="48"/>
      <c r="W22" s="48"/>
      <c r="X22" s="48">
        <v>2874</v>
      </c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57"/>
    </row>
    <row r="23" spans="2:51" ht="12.75">
      <c r="B23" s="116">
        <v>2</v>
      </c>
      <c r="C23" s="37"/>
      <c r="D23" s="33"/>
      <c r="E23" s="90"/>
      <c r="F23" s="79"/>
      <c r="G23" s="8" t="s">
        <v>8</v>
      </c>
      <c r="H23" s="42">
        <v>17212.78</v>
      </c>
      <c r="I23" s="20">
        <v>15663.25</v>
      </c>
      <c r="J23" s="20"/>
      <c r="K23" s="42"/>
      <c r="L23" s="42"/>
      <c r="M23" s="42"/>
      <c r="N23" s="41">
        <f t="shared" si="4"/>
        <v>783.1625</v>
      </c>
      <c r="O23" s="68">
        <f t="shared" si="0"/>
        <v>3595</v>
      </c>
      <c r="P23" s="174" t="s">
        <v>276</v>
      </c>
      <c r="Q23" s="48"/>
      <c r="R23" s="48"/>
      <c r="S23" s="48">
        <v>1418</v>
      </c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>
        <v>2177</v>
      </c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57"/>
    </row>
    <row r="24" spans="2:51" ht="12.75">
      <c r="B24" s="116">
        <v>2</v>
      </c>
      <c r="C24" s="37"/>
      <c r="D24" s="33"/>
      <c r="E24" s="90"/>
      <c r="F24" s="79"/>
      <c r="G24" s="8" t="s">
        <v>9</v>
      </c>
      <c r="H24" s="42">
        <v>19313.91</v>
      </c>
      <c r="I24" s="20">
        <v>17011.43</v>
      </c>
      <c r="J24" s="20"/>
      <c r="K24" s="42"/>
      <c r="L24" s="42"/>
      <c r="M24" s="42"/>
      <c r="N24" s="41">
        <f t="shared" si="4"/>
        <v>850.5715</v>
      </c>
      <c r="O24" s="68">
        <f t="shared" si="0"/>
        <v>611</v>
      </c>
      <c r="P24" s="173" t="s">
        <v>298</v>
      </c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>
        <v>321</v>
      </c>
      <c r="AC24" s="48"/>
      <c r="AD24" s="48"/>
      <c r="AE24" s="48"/>
      <c r="AF24" s="48">
        <v>137</v>
      </c>
      <c r="AG24" s="48"/>
      <c r="AH24" s="48"/>
      <c r="AI24" s="48"/>
      <c r="AJ24" s="48"/>
      <c r="AK24" s="48"/>
      <c r="AL24" s="48"/>
      <c r="AM24" s="48"/>
      <c r="AN24" s="48">
        <v>153</v>
      </c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57"/>
    </row>
    <row r="25" spans="2:51" ht="12.75">
      <c r="B25" s="116">
        <v>2</v>
      </c>
      <c r="C25" s="37"/>
      <c r="D25" s="33"/>
      <c r="E25" s="90"/>
      <c r="F25" s="79"/>
      <c r="G25" s="8" t="s">
        <v>10</v>
      </c>
      <c r="H25" s="42">
        <v>19313.63</v>
      </c>
      <c r="I25" s="20">
        <v>14963.12</v>
      </c>
      <c r="J25" s="20"/>
      <c r="K25" s="42"/>
      <c r="L25" s="42"/>
      <c r="M25" s="42"/>
      <c r="N25" s="41">
        <f t="shared" si="4"/>
        <v>748.1560000000001</v>
      </c>
      <c r="O25" s="68">
        <f t="shared" si="0"/>
        <v>0</v>
      </c>
      <c r="P25" s="173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57"/>
    </row>
    <row r="26" spans="2:51" ht="12.75">
      <c r="B26" s="116">
        <v>2</v>
      </c>
      <c r="C26" s="37"/>
      <c r="D26" s="33"/>
      <c r="E26" s="90"/>
      <c r="F26" s="79"/>
      <c r="G26" s="8" t="s">
        <v>11</v>
      </c>
      <c r="H26" s="42">
        <v>19313.63</v>
      </c>
      <c r="I26" s="20">
        <v>12604.45</v>
      </c>
      <c r="J26" s="20"/>
      <c r="K26" s="42"/>
      <c r="L26" s="42"/>
      <c r="M26" s="42"/>
      <c r="N26" s="41">
        <f t="shared" si="4"/>
        <v>630.2225000000001</v>
      </c>
      <c r="O26" s="68">
        <f t="shared" si="0"/>
        <v>12090</v>
      </c>
      <c r="P26" s="173" t="s">
        <v>318</v>
      </c>
      <c r="Q26" s="48">
        <v>10312</v>
      </c>
      <c r="R26" s="48"/>
      <c r="S26" s="48">
        <v>1778</v>
      </c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57"/>
    </row>
    <row r="27" spans="2:51" ht="12.75">
      <c r="B27" s="116">
        <v>2</v>
      </c>
      <c r="C27" s="37"/>
      <c r="D27" s="33"/>
      <c r="E27" s="90"/>
      <c r="F27" s="79"/>
      <c r="G27" s="8" t="s">
        <v>12</v>
      </c>
      <c r="H27" s="42">
        <v>51976.27</v>
      </c>
      <c r="I27" s="20">
        <v>23454.18</v>
      </c>
      <c r="J27" s="20"/>
      <c r="K27" s="42"/>
      <c r="L27" s="42"/>
      <c r="M27" s="42"/>
      <c r="N27" s="41">
        <f t="shared" si="4"/>
        <v>1172.709</v>
      </c>
      <c r="O27" s="68">
        <f t="shared" si="0"/>
        <v>38345</v>
      </c>
      <c r="P27" s="173" t="s">
        <v>324</v>
      </c>
      <c r="Q27" s="48">
        <f>2640+1432</f>
        <v>4072</v>
      </c>
      <c r="R27" s="48"/>
      <c r="S27" s="48"/>
      <c r="T27" s="48"/>
      <c r="U27" s="48"/>
      <c r="V27" s="48"/>
      <c r="W27" s="48">
        <v>32404</v>
      </c>
      <c r="X27" s="48"/>
      <c r="Y27" s="48"/>
      <c r="Z27" s="48"/>
      <c r="AA27" s="48"/>
      <c r="AB27" s="48"/>
      <c r="AC27" s="48"/>
      <c r="AD27" s="48">
        <v>1869</v>
      </c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57"/>
    </row>
    <row r="28" spans="2:51" ht="12.75">
      <c r="B28" s="116">
        <v>2</v>
      </c>
      <c r="C28" s="37"/>
      <c r="D28" s="33"/>
      <c r="E28" s="90"/>
      <c r="F28" s="79"/>
      <c r="G28" s="8" t="s">
        <v>13</v>
      </c>
      <c r="H28" s="42">
        <v>35644.95</v>
      </c>
      <c r="I28" s="20">
        <v>38561.96</v>
      </c>
      <c r="J28" s="20"/>
      <c r="K28" s="42"/>
      <c r="L28" s="42"/>
      <c r="M28" s="42"/>
      <c r="N28" s="41">
        <f t="shared" si="4"/>
        <v>1928.098</v>
      </c>
      <c r="O28" s="68">
        <f t="shared" si="0"/>
        <v>3435</v>
      </c>
      <c r="P28" s="173" t="s">
        <v>354</v>
      </c>
      <c r="Q28" s="48">
        <f>232+2809+301</f>
        <v>3342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>
        <v>93</v>
      </c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57"/>
    </row>
    <row r="29" spans="2:51" ht="13.5" thickBot="1">
      <c r="B29" s="117">
        <v>2</v>
      </c>
      <c r="C29" s="38"/>
      <c r="D29" s="35"/>
      <c r="E29" s="142"/>
      <c r="F29" s="80"/>
      <c r="G29" s="12" t="s">
        <v>14</v>
      </c>
      <c r="H29" s="42">
        <v>35644.95</v>
      </c>
      <c r="I29" s="21">
        <v>45688.44</v>
      </c>
      <c r="J29" s="66"/>
      <c r="K29" s="42"/>
      <c r="L29" s="42"/>
      <c r="M29" s="42"/>
      <c r="N29" s="41">
        <f t="shared" si="4"/>
        <v>2284.422</v>
      </c>
      <c r="O29" s="68">
        <f t="shared" si="0"/>
        <v>14414</v>
      </c>
      <c r="P29" s="175" t="s">
        <v>361</v>
      </c>
      <c r="Q29" s="49">
        <v>283</v>
      </c>
      <c r="R29" s="49"/>
      <c r="S29" s="49"/>
      <c r="T29" s="49">
        <v>12567</v>
      </c>
      <c r="U29" s="49"/>
      <c r="V29" s="49"/>
      <c r="W29" s="49"/>
      <c r="X29" s="49"/>
      <c r="Y29" s="49"/>
      <c r="Z29" s="49"/>
      <c r="AA29" s="49">
        <v>1100</v>
      </c>
      <c r="AB29" s="49"/>
      <c r="AC29" s="49"/>
      <c r="AD29" s="49"/>
      <c r="AE29" s="49"/>
      <c r="AF29" s="49"/>
      <c r="AG29" s="49">
        <v>464</v>
      </c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128">
        <f>AY17+(I17-K17-L17-M17-N17)+J17-O17</f>
        <v>-53975.95850000001</v>
      </c>
    </row>
    <row r="30" spans="2:64" s="4" customFormat="1" ht="14.25" thickBot="1" thickTop="1">
      <c r="B30" s="118">
        <v>3</v>
      </c>
      <c r="C30" s="28" t="s">
        <v>16</v>
      </c>
      <c r="D30" s="29">
        <v>20</v>
      </c>
      <c r="E30" s="141" t="s">
        <v>45</v>
      </c>
      <c r="F30" s="77">
        <v>3109.1</v>
      </c>
      <c r="G30" s="50"/>
      <c r="H30" s="69">
        <v>130464.05</v>
      </c>
      <c r="I30" s="70">
        <v>114870.04999999999</v>
      </c>
      <c r="J30" s="70">
        <f>SUM(J31:J42)</f>
        <v>0</v>
      </c>
      <c r="K30" s="69">
        <f>SUM(K31:K42)</f>
        <v>11758.89</v>
      </c>
      <c r="L30" s="69">
        <f>SUM(L31:L42)</f>
        <v>13770.95</v>
      </c>
      <c r="M30" s="69">
        <f>SUM(M31:M42)</f>
        <v>5183.89</v>
      </c>
      <c r="N30" s="69">
        <f>SUM(N31:N42)</f>
        <v>5743.5025000000005</v>
      </c>
      <c r="O30" s="16">
        <f t="shared" si="0"/>
        <v>44848</v>
      </c>
      <c r="P30" s="99"/>
      <c r="Q30" s="11">
        <f aca="true" t="shared" si="5" ref="Q30:AX30">SUM(Q31:Q42)</f>
        <v>570</v>
      </c>
      <c r="R30" s="11">
        <f t="shared" si="5"/>
        <v>12086</v>
      </c>
      <c r="S30" s="11">
        <f t="shared" si="5"/>
        <v>0</v>
      </c>
      <c r="T30" s="11">
        <f t="shared" si="5"/>
        <v>0</v>
      </c>
      <c r="U30" s="11">
        <f t="shared" si="5"/>
        <v>0</v>
      </c>
      <c r="V30" s="11">
        <f t="shared" si="5"/>
        <v>5447</v>
      </c>
      <c r="W30" s="11">
        <f t="shared" si="5"/>
        <v>0</v>
      </c>
      <c r="X30" s="11">
        <f t="shared" si="5"/>
        <v>23316</v>
      </c>
      <c r="Y30" s="11">
        <f t="shared" si="5"/>
        <v>0</v>
      </c>
      <c r="Z30" s="11">
        <f t="shared" si="5"/>
        <v>0</v>
      </c>
      <c r="AA30" s="11">
        <f t="shared" si="5"/>
        <v>0</v>
      </c>
      <c r="AB30" s="11">
        <f t="shared" si="5"/>
        <v>1116</v>
      </c>
      <c r="AC30" s="11">
        <f t="shared" si="5"/>
        <v>0</v>
      </c>
      <c r="AD30" s="11">
        <f t="shared" si="5"/>
        <v>0</v>
      </c>
      <c r="AE30" s="11">
        <f t="shared" si="5"/>
        <v>0</v>
      </c>
      <c r="AF30" s="11">
        <f t="shared" si="5"/>
        <v>389</v>
      </c>
      <c r="AG30" s="11">
        <f t="shared" si="5"/>
        <v>1924</v>
      </c>
      <c r="AH30" s="11">
        <f t="shared" si="5"/>
        <v>0</v>
      </c>
      <c r="AI30" s="11">
        <f t="shared" si="5"/>
        <v>0</v>
      </c>
      <c r="AJ30" s="11">
        <f t="shared" si="5"/>
        <v>0</v>
      </c>
      <c r="AK30" s="11">
        <f t="shared" si="5"/>
        <v>0</v>
      </c>
      <c r="AL30" s="11">
        <f t="shared" si="5"/>
        <v>0</v>
      </c>
      <c r="AM30" s="11">
        <f t="shared" si="5"/>
        <v>0</v>
      </c>
      <c r="AN30" s="11">
        <f t="shared" si="5"/>
        <v>0</v>
      </c>
      <c r="AO30" s="11">
        <f>SUM(AO31:AO42)</f>
        <v>0</v>
      </c>
      <c r="AP30" s="11">
        <f t="shared" si="5"/>
        <v>0</v>
      </c>
      <c r="AQ30" s="11">
        <f t="shared" si="5"/>
        <v>0</v>
      </c>
      <c r="AR30" s="11">
        <f t="shared" si="5"/>
        <v>0</v>
      </c>
      <c r="AS30" s="11">
        <f>SUM(AS31:AS42)</f>
        <v>0</v>
      </c>
      <c r="AT30" s="11">
        <f>SUM(AT31:AT42)</f>
        <v>0</v>
      </c>
      <c r="AU30" s="11">
        <f>SUM(AU31:AU42)</f>
        <v>0</v>
      </c>
      <c r="AV30" s="11">
        <f t="shared" si="5"/>
        <v>0</v>
      </c>
      <c r="AW30" s="11">
        <f t="shared" si="5"/>
        <v>0</v>
      </c>
      <c r="AX30" s="11">
        <f t="shared" si="5"/>
        <v>0</v>
      </c>
      <c r="AY30" s="127">
        <v>18591.17</v>
      </c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2:51" ht="13.5" thickTop="1">
      <c r="B31" s="119">
        <v>3</v>
      </c>
      <c r="C31" s="30" t="s">
        <v>68</v>
      </c>
      <c r="D31" s="31"/>
      <c r="E31" s="184" t="s">
        <v>135</v>
      </c>
      <c r="F31" s="78"/>
      <c r="G31" s="9" t="s">
        <v>3</v>
      </c>
      <c r="H31" s="41">
        <v>7896.33</v>
      </c>
      <c r="I31" s="19">
        <v>4329.69</v>
      </c>
      <c r="J31" s="19"/>
      <c r="K31" s="41">
        <v>11758.89</v>
      </c>
      <c r="L31" s="41">
        <v>13770.95</v>
      </c>
      <c r="M31" s="41">
        <v>5183.89</v>
      </c>
      <c r="N31" s="41">
        <f aca="true" t="shared" si="6" ref="N31:N42">I31*0.05</f>
        <v>216.4845</v>
      </c>
      <c r="O31" s="68">
        <f t="shared" si="0"/>
        <v>144</v>
      </c>
      <c r="P31" s="172" t="s">
        <v>181</v>
      </c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>
        <v>144</v>
      </c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131"/>
    </row>
    <row r="32" spans="2:51" ht="12.75">
      <c r="B32" s="120">
        <v>3</v>
      </c>
      <c r="C32" s="37"/>
      <c r="D32" s="33"/>
      <c r="E32" s="90" t="s">
        <v>97</v>
      </c>
      <c r="F32" s="79"/>
      <c r="G32" s="8" t="s">
        <v>4</v>
      </c>
      <c r="H32" s="42">
        <v>7896.33</v>
      </c>
      <c r="I32" s="20">
        <v>6097.15</v>
      </c>
      <c r="J32" s="20"/>
      <c r="K32" s="42"/>
      <c r="L32" s="42"/>
      <c r="M32" s="42"/>
      <c r="N32" s="41">
        <f t="shared" si="6"/>
        <v>304.8575</v>
      </c>
      <c r="O32" s="68">
        <f t="shared" si="0"/>
        <v>836</v>
      </c>
      <c r="P32" s="174" t="s">
        <v>188</v>
      </c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>
        <v>836</v>
      </c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57"/>
    </row>
    <row r="33" spans="2:51" ht="12.75">
      <c r="B33" s="120">
        <v>3</v>
      </c>
      <c r="C33" s="37"/>
      <c r="D33" s="33"/>
      <c r="E33" s="88"/>
      <c r="F33" s="79"/>
      <c r="G33" s="8" t="s">
        <v>5</v>
      </c>
      <c r="H33" s="42">
        <v>7896.33</v>
      </c>
      <c r="I33" s="20">
        <v>8488.08</v>
      </c>
      <c r="J33" s="20"/>
      <c r="K33" s="42"/>
      <c r="L33" s="42"/>
      <c r="M33" s="42"/>
      <c r="N33" s="41">
        <f t="shared" si="6"/>
        <v>424.404</v>
      </c>
      <c r="O33" s="68">
        <f t="shared" si="0"/>
        <v>13866</v>
      </c>
      <c r="P33" s="176" t="s">
        <v>201</v>
      </c>
      <c r="Q33" s="48"/>
      <c r="R33" s="48">
        <v>12086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>
        <v>1780</v>
      </c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57"/>
    </row>
    <row r="34" spans="2:51" ht="12.75">
      <c r="B34" s="120">
        <v>3</v>
      </c>
      <c r="C34" s="37"/>
      <c r="D34" s="33"/>
      <c r="E34" s="88"/>
      <c r="F34" s="79"/>
      <c r="G34" s="8" t="s">
        <v>6</v>
      </c>
      <c r="H34" s="42">
        <v>7896.33</v>
      </c>
      <c r="I34" s="20">
        <v>7862.62</v>
      </c>
      <c r="J34" s="20"/>
      <c r="K34" s="42"/>
      <c r="L34" s="42"/>
      <c r="M34" s="42"/>
      <c r="N34" s="41">
        <f t="shared" si="6"/>
        <v>393.13100000000003</v>
      </c>
      <c r="O34" s="68">
        <f t="shared" si="0"/>
        <v>0</v>
      </c>
      <c r="P34" s="166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57"/>
    </row>
    <row r="35" spans="2:51" ht="12.75">
      <c r="B35" s="120">
        <v>3</v>
      </c>
      <c r="C35" s="37"/>
      <c r="D35" s="33"/>
      <c r="E35" s="88"/>
      <c r="F35" s="79"/>
      <c r="G35" s="8" t="s">
        <v>7</v>
      </c>
      <c r="H35" s="42">
        <v>7895.32</v>
      </c>
      <c r="I35" s="20">
        <v>4605.58</v>
      </c>
      <c r="J35" s="20"/>
      <c r="K35" s="42"/>
      <c r="L35" s="42"/>
      <c r="M35" s="42"/>
      <c r="N35" s="41">
        <f t="shared" si="6"/>
        <v>230.279</v>
      </c>
      <c r="O35" s="68">
        <f t="shared" si="0"/>
        <v>25775</v>
      </c>
      <c r="P35" s="176" t="s">
        <v>240</v>
      </c>
      <c r="Q35" s="48"/>
      <c r="R35" s="48"/>
      <c r="S35" s="48"/>
      <c r="T35" s="48"/>
      <c r="U35" s="48"/>
      <c r="V35" s="48">
        <v>2459</v>
      </c>
      <c r="W35" s="48"/>
      <c r="X35" s="48">
        <v>23316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57"/>
    </row>
    <row r="36" spans="2:51" ht="12.75">
      <c r="B36" s="120">
        <v>3</v>
      </c>
      <c r="C36" s="37"/>
      <c r="D36" s="33"/>
      <c r="E36" s="88"/>
      <c r="F36" s="79"/>
      <c r="G36" s="8" t="s">
        <v>8</v>
      </c>
      <c r="H36" s="42">
        <v>7895.32</v>
      </c>
      <c r="I36" s="20">
        <v>12679.49</v>
      </c>
      <c r="J36" s="20"/>
      <c r="K36" s="42"/>
      <c r="L36" s="42"/>
      <c r="M36" s="42"/>
      <c r="N36" s="41">
        <f t="shared" si="6"/>
        <v>633.9745</v>
      </c>
      <c r="O36" s="68">
        <f t="shared" si="0"/>
        <v>280</v>
      </c>
      <c r="P36" s="173" t="s">
        <v>270</v>
      </c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>
        <v>280</v>
      </c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57"/>
    </row>
    <row r="37" spans="2:51" ht="12.75">
      <c r="B37" s="120">
        <v>3</v>
      </c>
      <c r="C37" s="37"/>
      <c r="D37" s="33"/>
      <c r="E37" s="88"/>
      <c r="F37" s="79"/>
      <c r="G37" s="8" t="s">
        <v>9</v>
      </c>
      <c r="H37" s="42">
        <v>8859.11</v>
      </c>
      <c r="I37" s="20">
        <v>6673.35</v>
      </c>
      <c r="J37" s="20"/>
      <c r="K37" s="42"/>
      <c r="L37" s="42"/>
      <c r="M37" s="42"/>
      <c r="N37" s="41">
        <f t="shared" si="6"/>
        <v>333.6675</v>
      </c>
      <c r="O37" s="68">
        <f t="shared" si="0"/>
        <v>2988</v>
      </c>
      <c r="P37" s="98"/>
      <c r="Q37" s="48"/>
      <c r="R37" s="48"/>
      <c r="S37" s="48"/>
      <c r="T37" s="48"/>
      <c r="U37" s="48"/>
      <c r="V37" s="48">
        <v>2988</v>
      </c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57"/>
    </row>
    <row r="38" spans="2:51" ht="12.75">
      <c r="B38" s="120">
        <v>3</v>
      </c>
      <c r="C38" s="37"/>
      <c r="D38" s="33"/>
      <c r="E38" s="88"/>
      <c r="F38" s="79"/>
      <c r="G38" s="8" t="s">
        <v>10</v>
      </c>
      <c r="H38" s="42">
        <v>8859.11</v>
      </c>
      <c r="I38" s="20">
        <v>10209.87</v>
      </c>
      <c r="J38" s="20"/>
      <c r="K38" s="42"/>
      <c r="L38" s="42"/>
      <c r="M38" s="42"/>
      <c r="N38" s="41">
        <f t="shared" si="6"/>
        <v>510.49350000000004</v>
      </c>
      <c r="O38" s="68">
        <f t="shared" si="0"/>
        <v>0</v>
      </c>
      <c r="P38" s="176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57"/>
    </row>
    <row r="39" spans="2:51" ht="12.75">
      <c r="B39" s="120">
        <v>3</v>
      </c>
      <c r="C39" s="37"/>
      <c r="D39" s="33"/>
      <c r="E39" s="88"/>
      <c r="F39" s="79"/>
      <c r="G39" s="8" t="s">
        <v>11</v>
      </c>
      <c r="H39" s="42">
        <v>8859.11</v>
      </c>
      <c r="I39" s="20">
        <v>5388.97</v>
      </c>
      <c r="J39" s="20"/>
      <c r="K39" s="42"/>
      <c r="L39" s="42"/>
      <c r="M39" s="42"/>
      <c r="N39" s="41">
        <f t="shared" si="6"/>
        <v>269.4485</v>
      </c>
      <c r="O39" s="68">
        <f t="shared" si="0"/>
        <v>0</v>
      </c>
      <c r="P39" s="176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57"/>
    </row>
    <row r="40" spans="2:51" ht="12.75">
      <c r="B40" s="120">
        <v>3</v>
      </c>
      <c r="C40" s="37"/>
      <c r="D40" s="33"/>
      <c r="E40" s="88"/>
      <c r="F40" s="79"/>
      <c r="G40" s="8" t="s">
        <v>12</v>
      </c>
      <c r="H40" s="42">
        <v>18836.92</v>
      </c>
      <c r="I40" s="20">
        <v>9678.96</v>
      </c>
      <c r="J40" s="20"/>
      <c r="K40" s="42"/>
      <c r="L40" s="42"/>
      <c r="M40" s="42"/>
      <c r="N40" s="41">
        <f t="shared" si="6"/>
        <v>483.948</v>
      </c>
      <c r="O40" s="68">
        <f t="shared" si="0"/>
        <v>959</v>
      </c>
      <c r="P40" s="176" t="s">
        <v>340</v>
      </c>
      <c r="Q40" s="48">
        <v>570</v>
      </c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>
        <v>389</v>
      </c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57"/>
    </row>
    <row r="41" spans="2:51" ht="12.75">
      <c r="B41" s="120">
        <v>3</v>
      </c>
      <c r="C41" s="37"/>
      <c r="D41" s="33"/>
      <c r="E41" s="88"/>
      <c r="F41" s="79"/>
      <c r="G41" s="8" t="s">
        <v>13</v>
      </c>
      <c r="H41" s="42">
        <v>18836.92</v>
      </c>
      <c r="I41" s="20">
        <v>18268.85</v>
      </c>
      <c r="J41" s="20"/>
      <c r="K41" s="42"/>
      <c r="L41" s="42"/>
      <c r="M41" s="42"/>
      <c r="N41" s="41">
        <f t="shared" si="6"/>
        <v>913.4425</v>
      </c>
      <c r="O41" s="68">
        <f t="shared" si="0"/>
        <v>0</v>
      </c>
      <c r="P41" s="9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57"/>
    </row>
    <row r="42" spans="2:51" ht="13.5" thickBot="1">
      <c r="B42" s="121">
        <v>3</v>
      </c>
      <c r="C42" s="38"/>
      <c r="D42" s="35"/>
      <c r="E42" s="125"/>
      <c r="F42" s="80"/>
      <c r="G42" s="12" t="s">
        <v>14</v>
      </c>
      <c r="H42" s="43">
        <v>18836.92</v>
      </c>
      <c r="I42" s="21">
        <v>20587.44</v>
      </c>
      <c r="J42" s="66"/>
      <c r="K42" s="43"/>
      <c r="L42" s="43"/>
      <c r="M42" s="43"/>
      <c r="N42" s="41">
        <f t="shared" si="6"/>
        <v>1029.372</v>
      </c>
      <c r="O42" s="68">
        <f t="shared" si="0"/>
        <v>0</v>
      </c>
      <c r="P42" s="108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128">
        <f>AY30+(I30-K30-L30-M30-N30)+J30-O30</f>
        <v>52155.98749999999</v>
      </c>
    </row>
    <row r="43" spans="2:64" s="4" customFormat="1" ht="14.25" thickBot="1" thickTop="1">
      <c r="B43" s="118">
        <v>4</v>
      </c>
      <c r="C43" s="28" t="s">
        <v>17</v>
      </c>
      <c r="D43" s="29">
        <v>31</v>
      </c>
      <c r="E43" s="141" t="s">
        <v>45</v>
      </c>
      <c r="F43" s="77">
        <v>4304</v>
      </c>
      <c r="G43" s="50"/>
      <c r="H43" s="69">
        <v>0</v>
      </c>
      <c r="I43" s="70">
        <v>492.09</v>
      </c>
      <c r="J43" s="70">
        <f>SUM(J44:J55)</f>
        <v>19340.13</v>
      </c>
      <c r="K43" s="69">
        <f>SUM(K44:K55)</f>
        <v>17975.28</v>
      </c>
      <c r="L43" s="69">
        <f>SUM(L44:L55)</f>
        <v>15230.3</v>
      </c>
      <c r="M43" s="69">
        <f>SUM(M44:M55)</f>
        <v>327.9</v>
      </c>
      <c r="N43" s="69">
        <f>SUM(N44:N55)</f>
        <v>24.6045</v>
      </c>
      <c r="O43" s="16">
        <f t="shared" si="0"/>
        <v>127330</v>
      </c>
      <c r="P43" s="99"/>
      <c r="Q43" s="11">
        <f aca="true" t="shared" si="7" ref="Q43:AX43">SUM(Q44:Q55)</f>
        <v>4078</v>
      </c>
      <c r="R43" s="11">
        <f t="shared" si="7"/>
        <v>0</v>
      </c>
      <c r="S43" s="11">
        <f t="shared" si="7"/>
        <v>0</v>
      </c>
      <c r="T43" s="11">
        <f t="shared" si="7"/>
        <v>0</v>
      </c>
      <c r="U43" s="11">
        <f t="shared" si="7"/>
        <v>0</v>
      </c>
      <c r="V43" s="11">
        <f t="shared" si="7"/>
        <v>0</v>
      </c>
      <c r="W43" s="11">
        <f t="shared" si="7"/>
        <v>119618</v>
      </c>
      <c r="X43" s="11">
        <f t="shared" si="7"/>
        <v>0</v>
      </c>
      <c r="Y43" s="11">
        <f t="shared" si="7"/>
        <v>0</v>
      </c>
      <c r="Z43" s="11">
        <f t="shared" si="7"/>
        <v>0</v>
      </c>
      <c r="AA43" s="11">
        <f t="shared" si="7"/>
        <v>0</v>
      </c>
      <c r="AB43" s="11">
        <f t="shared" si="7"/>
        <v>0</v>
      </c>
      <c r="AC43" s="11">
        <f t="shared" si="7"/>
        <v>0</v>
      </c>
      <c r="AD43" s="11">
        <f t="shared" si="7"/>
        <v>1457</v>
      </c>
      <c r="AE43" s="11">
        <f t="shared" si="7"/>
        <v>0</v>
      </c>
      <c r="AF43" s="11">
        <f t="shared" si="7"/>
        <v>0</v>
      </c>
      <c r="AG43" s="11">
        <f t="shared" si="7"/>
        <v>2177</v>
      </c>
      <c r="AH43" s="11">
        <f t="shared" si="7"/>
        <v>0</v>
      </c>
      <c r="AI43" s="11">
        <f t="shared" si="7"/>
        <v>0</v>
      </c>
      <c r="AJ43" s="11">
        <f t="shared" si="7"/>
        <v>0</v>
      </c>
      <c r="AK43" s="11">
        <f t="shared" si="7"/>
        <v>0</v>
      </c>
      <c r="AL43" s="11">
        <f t="shared" si="7"/>
        <v>0</v>
      </c>
      <c r="AM43" s="11">
        <f t="shared" si="7"/>
        <v>0</v>
      </c>
      <c r="AN43" s="11">
        <f t="shared" si="7"/>
        <v>0</v>
      </c>
      <c r="AO43" s="11">
        <f>SUM(AO44:AO55)</f>
        <v>0</v>
      </c>
      <c r="AP43" s="11">
        <f t="shared" si="7"/>
        <v>0</v>
      </c>
      <c r="AQ43" s="11">
        <f t="shared" si="7"/>
        <v>0</v>
      </c>
      <c r="AR43" s="11">
        <f t="shared" si="7"/>
        <v>0</v>
      </c>
      <c r="AS43" s="11">
        <f>SUM(AS44:AS55)</f>
        <v>0</v>
      </c>
      <c r="AT43" s="11">
        <f>SUM(AT44:AT55)</f>
        <v>0</v>
      </c>
      <c r="AU43" s="11">
        <f>SUM(AU44:AU55)</f>
        <v>0</v>
      </c>
      <c r="AV43" s="11">
        <f t="shared" si="7"/>
        <v>0</v>
      </c>
      <c r="AW43" s="11">
        <f t="shared" si="7"/>
        <v>0</v>
      </c>
      <c r="AX43" s="11">
        <f t="shared" si="7"/>
        <v>0</v>
      </c>
      <c r="AY43" s="127">
        <v>58597.79</v>
      </c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2:51" ht="13.5" thickTop="1">
      <c r="B44" s="119">
        <v>4</v>
      </c>
      <c r="C44" s="30" t="s">
        <v>68</v>
      </c>
      <c r="D44" s="31"/>
      <c r="E44" s="89" t="s">
        <v>95</v>
      </c>
      <c r="F44" s="78"/>
      <c r="G44" s="9" t="s">
        <v>3</v>
      </c>
      <c r="H44" s="41">
        <v>0</v>
      </c>
      <c r="I44" s="19">
        <v>271.02</v>
      </c>
      <c r="J44" s="19">
        <v>19340.13</v>
      </c>
      <c r="K44" s="41">
        <v>17975.28</v>
      </c>
      <c r="L44" s="41">
        <v>15230.3</v>
      </c>
      <c r="M44" s="41">
        <v>327.9</v>
      </c>
      <c r="N44" s="41">
        <f aca="true" t="shared" si="8" ref="N44:N55">I44*0.05</f>
        <v>13.551</v>
      </c>
      <c r="O44" s="68">
        <f t="shared" si="0"/>
        <v>169856</v>
      </c>
      <c r="P44" s="172" t="s">
        <v>180</v>
      </c>
      <c r="Q44" s="39">
        <f>754+215+621</f>
        <v>1590</v>
      </c>
      <c r="R44" s="39"/>
      <c r="S44" s="39"/>
      <c r="T44" s="39"/>
      <c r="U44" s="39"/>
      <c r="V44" s="39"/>
      <c r="W44" s="39">
        <v>166809</v>
      </c>
      <c r="X44" s="39"/>
      <c r="Y44" s="39"/>
      <c r="Z44" s="39"/>
      <c r="AA44" s="39"/>
      <c r="AB44" s="39"/>
      <c r="AC44" s="39"/>
      <c r="AD44" s="39">
        <v>1457</v>
      </c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131"/>
    </row>
    <row r="45" spans="2:51" ht="12.75">
      <c r="B45" s="119">
        <v>4</v>
      </c>
      <c r="C45" s="169" t="s">
        <v>77</v>
      </c>
      <c r="D45" s="33"/>
      <c r="E45" s="90" t="s">
        <v>93</v>
      </c>
      <c r="F45" s="79"/>
      <c r="G45" s="8" t="s">
        <v>4</v>
      </c>
      <c r="H45" s="42">
        <v>0</v>
      </c>
      <c r="I45" s="20">
        <v>0</v>
      </c>
      <c r="J45" s="19">
        <f>'[1]Учет по КР '!G6</f>
        <v>0</v>
      </c>
      <c r="K45" s="42"/>
      <c r="L45" s="42"/>
      <c r="M45" s="42"/>
      <c r="N45" s="41">
        <f t="shared" si="8"/>
        <v>0</v>
      </c>
      <c r="O45" s="68">
        <f t="shared" si="0"/>
        <v>-47191</v>
      </c>
      <c r="P45" s="95"/>
      <c r="Q45" s="48"/>
      <c r="R45" s="48"/>
      <c r="S45" s="48"/>
      <c r="T45" s="48"/>
      <c r="U45" s="48"/>
      <c r="V45" s="48"/>
      <c r="W45" s="48">
        <v>-47191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57"/>
    </row>
    <row r="46" spans="2:51" ht="12.75">
      <c r="B46" s="119">
        <v>4</v>
      </c>
      <c r="C46" s="37"/>
      <c r="D46" s="33"/>
      <c r="E46" s="90" t="s">
        <v>114</v>
      </c>
      <c r="F46" s="79"/>
      <c r="G46" s="8" t="s">
        <v>5</v>
      </c>
      <c r="H46" s="42">
        <v>0</v>
      </c>
      <c r="I46" s="20">
        <v>221.07</v>
      </c>
      <c r="J46" s="19">
        <f>'[1]Учет по КР '!G7</f>
        <v>0</v>
      </c>
      <c r="K46" s="42"/>
      <c r="L46" s="42"/>
      <c r="M46" s="42"/>
      <c r="N46" s="41">
        <f t="shared" si="8"/>
        <v>11.0535</v>
      </c>
      <c r="O46" s="68">
        <f t="shared" si="0"/>
        <v>0</v>
      </c>
      <c r="P46" s="9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57"/>
    </row>
    <row r="47" spans="2:51" ht="12.75">
      <c r="B47" s="119">
        <v>4</v>
      </c>
      <c r="C47" s="37"/>
      <c r="D47" s="33"/>
      <c r="E47" s="170" t="s">
        <v>78</v>
      </c>
      <c r="F47" s="79"/>
      <c r="G47" s="8" t="s">
        <v>6</v>
      </c>
      <c r="H47" s="42">
        <v>0</v>
      </c>
      <c r="I47" s="20">
        <v>0</v>
      </c>
      <c r="J47" s="19">
        <f>'[1]Учет по КР '!G8</f>
        <v>0</v>
      </c>
      <c r="K47" s="42"/>
      <c r="L47" s="42"/>
      <c r="M47" s="42"/>
      <c r="N47" s="41">
        <f t="shared" si="8"/>
        <v>0</v>
      </c>
      <c r="O47" s="68">
        <f t="shared" si="0"/>
        <v>811</v>
      </c>
      <c r="P47" s="178" t="s">
        <v>169</v>
      </c>
      <c r="Q47" s="48">
        <v>811</v>
      </c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57"/>
    </row>
    <row r="48" spans="2:51" ht="12.75">
      <c r="B48" s="119">
        <v>4</v>
      </c>
      <c r="C48" s="37"/>
      <c r="D48" s="33"/>
      <c r="E48" s="170" t="s">
        <v>78</v>
      </c>
      <c r="F48" s="79"/>
      <c r="G48" s="8" t="s">
        <v>7</v>
      </c>
      <c r="H48" s="47">
        <v>0</v>
      </c>
      <c r="I48" s="20">
        <v>0</v>
      </c>
      <c r="J48" s="19">
        <f>'[1]Учет по КР '!G9</f>
        <v>0</v>
      </c>
      <c r="K48" s="47"/>
      <c r="L48" s="47"/>
      <c r="M48" s="47"/>
      <c r="N48" s="41">
        <f t="shared" si="8"/>
        <v>0</v>
      </c>
      <c r="O48" s="68">
        <f t="shared" si="0"/>
        <v>0</v>
      </c>
      <c r="P48" s="9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57"/>
    </row>
    <row r="49" spans="2:51" ht="12.75">
      <c r="B49" s="119">
        <v>4</v>
      </c>
      <c r="C49" s="37"/>
      <c r="D49" s="33"/>
      <c r="E49" s="170" t="s">
        <v>78</v>
      </c>
      <c r="F49" s="79"/>
      <c r="G49" s="8" t="s">
        <v>8</v>
      </c>
      <c r="H49" s="42">
        <v>0</v>
      </c>
      <c r="I49" s="20">
        <v>0</v>
      </c>
      <c r="J49" s="19">
        <f>'[1]Учет по КР '!G10</f>
        <v>0</v>
      </c>
      <c r="K49" s="42"/>
      <c r="L49" s="42"/>
      <c r="M49" s="42"/>
      <c r="N49" s="41">
        <f t="shared" si="8"/>
        <v>0</v>
      </c>
      <c r="O49" s="68">
        <f t="shared" si="0"/>
        <v>0</v>
      </c>
      <c r="P49" s="9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57"/>
    </row>
    <row r="50" spans="2:51" ht="12.75">
      <c r="B50" s="119">
        <v>4</v>
      </c>
      <c r="C50" s="37"/>
      <c r="D50" s="33"/>
      <c r="E50" s="170" t="s">
        <v>78</v>
      </c>
      <c r="F50" s="79"/>
      <c r="G50" s="8" t="s">
        <v>9</v>
      </c>
      <c r="H50" s="42">
        <v>0</v>
      </c>
      <c r="I50" s="20">
        <v>0</v>
      </c>
      <c r="J50" s="19">
        <f>'[1]Учет по КР '!G11</f>
        <v>0</v>
      </c>
      <c r="K50" s="42"/>
      <c r="L50" s="42"/>
      <c r="M50" s="42"/>
      <c r="N50" s="41">
        <f t="shared" si="8"/>
        <v>0</v>
      </c>
      <c r="O50" s="68">
        <f t="shared" si="0"/>
        <v>2177</v>
      </c>
      <c r="P50" s="98" t="s">
        <v>293</v>
      </c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>
        <v>2177</v>
      </c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57"/>
    </row>
    <row r="51" spans="2:51" ht="12.75">
      <c r="B51" s="119">
        <v>4</v>
      </c>
      <c r="C51" s="37"/>
      <c r="D51" s="33"/>
      <c r="E51" s="170" t="s">
        <v>78</v>
      </c>
      <c r="F51" s="79"/>
      <c r="G51" s="8" t="s">
        <v>10</v>
      </c>
      <c r="H51" s="42">
        <v>0</v>
      </c>
      <c r="I51" s="20">
        <v>0</v>
      </c>
      <c r="J51" s="19">
        <f>'[1]Учет по КР '!G12</f>
        <v>0</v>
      </c>
      <c r="K51" s="42"/>
      <c r="L51" s="42"/>
      <c r="M51" s="42"/>
      <c r="N51" s="41">
        <f t="shared" si="8"/>
        <v>0</v>
      </c>
      <c r="O51" s="68">
        <f t="shared" si="0"/>
        <v>0</v>
      </c>
      <c r="P51" s="94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57"/>
    </row>
    <row r="52" spans="2:51" ht="12.75">
      <c r="B52" s="119">
        <v>4</v>
      </c>
      <c r="C52" s="37"/>
      <c r="D52" s="33"/>
      <c r="E52" s="170" t="s">
        <v>78</v>
      </c>
      <c r="F52" s="79"/>
      <c r="G52" s="8" t="s">
        <v>11</v>
      </c>
      <c r="H52" s="42">
        <v>0</v>
      </c>
      <c r="I52" s="20">
        <v>0</v>
      </c>
      <c r="J52" s="19">
        <f>'[1]Учет по КР '!G13</f>
        <v>0</v>
      </c>
      <c r="K52" s="42"/>
      <c r="L52" s="42"/>
      <c r="M52" s="42"/>
      <c r="N52" s="41">
        <f t="shared" si="8"/>
        <v>0</v>
      </c>
      <c r="O52" s="68">
        <f t="shared" si="0"/>
        <v>950</v>
      </c>
      <c r="P52" s="98" t="s">
        <v>303</v>
      </c>
      <c r="Q52" s="48">
        <v>950</v>
      </c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57"/>
    </row>
    <row r="53" spans="2:51" ht="12.75">
      <c r="B53" s="119">
        <v>4</v>
      </c>
      <c r="C53" s="37"/>
      <c r="D53" s="33"/>
      <c r="E53" s="170" t="s">
        <v>78</v>
      </c>
      <c r="F53" s="79"/>
      <c r="G53" s="8" t="s">
        <v>12</v>
      </c>
      <c r="H53" s="42">
        <v>0</v>
      </c>
      <c r="I53" s="20">
        <v>0</v>
      </c>
      <c r="J53" s="19">
        <f>'[1]Учет по КР '!G14</f>
        <v>0</v>
      </c>
      <c r="K53" s="42"/>
      <c r="L53" s="42"/>
      <c r="M53" s="42"/>
      <c r="N53" s="41">
        <f t="shared" si="8"/>
        <v>0</v>
      </c>
      <c r="O53" s="68">
        <f t="shared" si="0"/>
        <v>444</v>
      </c>
      <c r="P53" s="98" t="s">
        <v>329</v>
      </c>
      <c r="Q53" s="48">
        <f>238+206</f>
        <v>444</v>
      </c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57"/>
    </row>
    <row r="54" spans="2:51" ht="12.75">
      <c r="B54" s="119">
        <v>4</v>
      </c>
      <c r="C54" s="37"/>
      <c r="D54" s="33"/>
      <c r="E54" s="170" t="s">
        <v>78</v>
      </c>
      <c r="F54" s="79"/>
      <c r="G54" s="8" t="s">
        <v>13</v>
      </c>
      <c r="H54" s="42">
        <v>0</v>
      </c>
      <c r="I54" s="20">
        <v>0</v>
      </c>
      <c r="J54" s="19">
        <f>'[1]Учет по КР '!G15</f>
        <v>0</v>
      </c>
      <c r="K54" s="42"/>
      <c r="L54" s="42"/>
      <c r="M54" s="42"/>
      <c r="N54" s="41">
        <f t="shared" si="8"/>
        <v>0</v>
      </c>
      <c r="O54" s="68">
        <f t="shared" si="0"/>
        <v>0</v>
      </c>
      <c r="P54" s="9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57"/>
    </row>
    <row r="55" spans="2:51" ht="13.5" thickBot="1">
      <c r="B55" s="121">
        <v>4</v>
      </c>
      <c r="C55" s="38"/>
      <c r="D55" s="35"/>
      <c r="E55" s="171" t="s">
        <v>78</v>
      </c>
      <c r="F55" s="80"/>
      <c r="G55" s="12" t="s">
        <v>14</v>
      </c>
      <c r="H55" s="42">
        <v>0</v>
      </c>
      <c r="I55" s="21">
        <v>0</v>
      </c>
      <c r="J55" s="19">
        <f>'[1]Учет по КР '!G16</f>
        <v>0</v>
      </c>
      <c r="K55" s="42"/>
      <c r="L55" s="42"/>
      <c r="M55" s="42"/>
      <c r="N55" s="41">
        <f t="shared" si="8"/>
        <v>0</v>
      </c>
      <c r="O55" s="68">
        <f t="shared" si="0"/>
        <v>283</v>
      </c>
      <c r="P55" s="108" t="s">
        <v>359</v>
      </c>
      <c r="Q55" s="49">
        <v>283</v>
      </c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128">
        <f>AY43+(I43-K43-L43-M43-N43)+J43-O43</f>
        <v>-82458.0745</v>
      </c>
    </row>
    <row r="56" spans="1:64" s="4" customFormat="1" ht="14.25" thickBot="1" thickTop="1">
      <c r="A56" s="187"/>
      <c r="B56" s="114">
        <v>5</v>
      </c>
      <c r="C56" s="28" t="s">
        <v>17</v>
      </c>
      <c r="D56" s="29">
        <v>37</v>
      </c>
      <c r="E56" s="141" t="s">
        <v>46</v>
      </c>
      <c r="F56" s="77">
        <v>5989.2</v>
      </c>
      <c r="G56" s="50"/>
      <c r="H56" s="69">
        <v>225720.92</v>
      </c>
      <c r="I56" s="70">
        <v>206266.03999999998</v>
      </c>
      <c r="J56" s="70">
        <f>SUM(J57:J68)</f>
        <v>0</v>
      </c>
      <c r="K56" s="69">
        <f>SUM(K57:K68)</f>
        <v>24927.6</v>
      </c>
      <c r="L56" s="69">
        <f>SUM(L57:L68)</f>
        <v>28318.7</v>
      </c>
      <c r="M56" s="69">
        <f>SUM(M57:M68)</f>
        <v>9592.98</v>
      </c>
      <c r="N56" s="69">
        <f>SUM(N57:N68)</f>
        <v>10313.302000000001</v>
      </c>
      <c r="O56" s="69">
        <f t="shared" si="0"/>
        <v>335062</v>
      </c>
      <c r="P56" s="97"/>
      <c r="Q56" s="50">
        <f aca="true" t="shared" si="9" ref="Q56:AX56">SUM(Q57:Q68)</f>
        <v>171382</v>
      </c>
      <c r="R56" s="50">
        <f t="shared" si="9"/>
        <v>18868</v>
      </c>
      <c r="S56" s="50">
        <f t="shared" si="9"/>
        <v>1682</v>
      </c>
      <c r="T56" s="50">
        <f t="shared" si="9"/>
        <v>10078</v>
      </c>
      <c r="U56" s="50">
        <f t="shared" si="9"/>
        <v>0</v>
      </c>
      <c r="V56" s="50">
        <f t="shared" si="9"/>
        <v>0</v>
      </c>
      <c r="W56" s="50">
        <f t="shared" si="9"/>
        <v>72</v>
      </c>
      <c r="X56" s="50">
        <f t="shared" si="9"/>
        <v>27878</v>
      </c>
      <c r="Y56" s="50">
        <f t="shared" si="9"/>
        <v>358</v>
      </c>
      <c r="Z56" s="50">
        <f t="shared" si="9"/>
        <v>0</v>
      </c>
      <c r="AA56" s="50">
        <f t="shared" si="9"/>
        <v>2310</v>
      </c>
      <c r="AB56" s="50">
        <f t="shared" si="9"/>
        <v>349</v>
      </c>
      <c r="AC56" s="50">
        <f t="shared" si="9"/>
        <v>0</v>
      </c>
      <c r="AD56" s="50">
        <f t="shared" si="9"/>
        <v>0</v>
      </c>
      <c r="AE56" s="50">
        <f t="shared" si="9"/>
        <v>629</v>
      </c>
      <c r="AF56" s="50">
        <f t="shared" si="9"/>
        <v>1657</v>
      </c>
      <c r="AG56" s="50">
        <f t="shared" si="9"/>
        <v>3871</v>
      </c>
      <c r="AH56" s="50">
        <f t="shared" si="9"/>
        <v>0</v>
      </c>
      <c r="AI56" s="50">
        <f t="shared" si="9"/>
        <v>0</v>
      </c>
      <c r="AJ56" s="50">
        <f t="shared" si="9"/>
        <v>0</v>
      </c>
      <c r="AK56" s="50">
        <f t="shared" si="9"/>
        <v>0</v>
      </c>
      <c r="AL56" s="50">
        <f t="shared" si="9"/>
        <v>2990</v>
      </c>
      <c r="AM56" s="50">
        <f t="shared" si="9"/>
        <v>0</v>
      </c>
      <c r="AN56" s="50">
        <f t="shared" si="9"/>
        <v>92938</v>
      </c>
      <c r="AO56" s="50">
        <f>SUM(AO57:AO68)</f>
        <v>0</v>
      </c>
      <c r="AP56" s="50">
        <f t="shared" si="9"/>
        <v>0</v>
      </c>
      <c r="AQ56" s="50">
        <f t="shared" si="9"/>
        <v>0</v>
      </c>
      <c r="AR56" s="50">
        <f t="shared" si="9"/>
        <v>0</v>
      </c>
      <c r="AS56" s="50">
        <f>SUM(AS57:AS68)</f>
        <v>0</v>
      </c>
      <c r="AT56" s="50">
        <f>SUM(AT57:AT68)</f>
        <v>0</v>
      </c>
      <c r="AU56" s="50">
        <f>SUM(AU57:AU68)</f>
        <v>0</v>
      </c>
      <c r="AV56" s="50">
        <f t="shared" si="9"/>
        <v>0</v>
      </c>
      <c r="AW56" s="50">
        <f t="shared" si="9"/>
        <v>0</v>
      </c>
      <c r="AX56" s="50">
        <f t="shared" si="9"/>
        <v>0</v>
      </c>
      <c r="AY56" s="127">
        <v>62776.89</v>
      </c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2:51" ht="13.5" thickTop="1">
      <c r="B57" s="115">
        <v>5</v>
      </c>
      <c r="C57" s="30" t="s">
        <v>68</v>
      </c>
      <c r="D57" s="31"/>
      <c r="E57" s="184" t="s">
        <v>136</v>
      </c>
      <c r="F57" s="78"/>
      <c r="G57" s="9" t="s">
        <v>3</v>
      </c>
      <c r="H57" s="41">
        <v>11105.82</v>
      </c>
      <c r="I57" s="19">
        <v>11123.09</v>
      </c>
      <c r="J57" s="19"/>
      <c r="K57" s="41">
        <v>24927.6</v>
      </c>
      <c r="L57" s="41">
        <v>28318.7</v>
      </c>
      <c r="M57" s="41">
        <v>9592.98</v>
      </c>
      <c r="N57" s="41">
        <f aca="true" t="shared" si="10" ref="N57:N68">I57*0.05</f>
        <v>556.1545</v>
      </c>
      <c r="O57" s="68">
        <f t="shared" si="0"/>
        <v>10219</v>
      </c>
      <c r="P57" s="200" t="s">
        <v>163</v>
      </c>
      <c r="Q57" s="39"/>
      <c r="R57" s="39">
        <v>10219</v>
      </c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131"/>
    </row>
    <row r="58" spans="2:51" ht="12.75">
      <c r="B58" s="115">
        <v>5</v>
      </c>
      <c r="C58" s="37"/>
      <c r="D58" s="33"/>
      <c r="E58" s="90" t="s">
        <v>115</v>
      </c>
      <c r="F58" s="79"/>
      <c r="G58" s="8" t="s">
        <v>4</v>
      </c>
      <c r="H58" s="42">
        <v>9106.39</v>
      </c>
      <c r="I58" s="20">
        <v>11560.04</v>
      </c>
      <c r="J58" s="20"/>
      <c r="K58" s="42"/>
      <c r="L58" s="42"/>
      <c r="M58" s="42"/>
      <c r="N58" s="41">
        <f t="shared" si="10"/>
        <v>578.0020000000001</v>
      </c>
      <c r="O58" s="68">
        <f t="shared" si="0"/>
        <v>7834</v>
      </c>
      <c r="P58" s="197" t="s">
        <v>167</v>
      </c>
      <c r="Q58" s="48"/>
      <c r="R58" s="48">
        <v>7762</v>
      </c>
      <c r="S58" s="48"/>
      <c r="T58" s="48"/>
      <c r="U58" s="48"/>
      <c r="V58" s="48"/>
      <c r="W58" s="48">
        <v>72</v>
      </c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57"/>
    </row>
    <row r="59" spans="2:51" ht="12.75">
      <c r="B59" s="115">
        <v>5</v>
      </c>
      <c r="C59" s="37"/>
      <c r="D59" s="33"/>
      <c r="E59" s="90"/>
      <c r="F59" s="79"/>
      <c r="G59" s="8" t="s">
        <v>5</v>
      </c>
      <c r="H59" s="42">
        <v>9106.39</v>
      </c>
      <c r="I59" s="20">
        <v>12094.97</v>
      </c>
      <c r="J59" s="20"/>
      <c r="K59" s="42"/>
      <c r="L59" s="42"/>
      <c r="M59" s="42"/>
      <c r="N59" s="41">
        <f t="shared" si="10"/>
        <v>604.7485</v>
      </c>
      <c r="O59" s="68">
        <f t="shared" si="0"/>
        <v>349</v>
      </c>
      <c r="P59" s="196" t="s">
        <v>164</v>
      </c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>
        <v>349</v>
      </c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57"/>
    </row>
    <row r="60" spans="2:51" ht="12.75">
      <c r="B60" s="115">
        <v>5</v>
      </c>
      <c r="C60" s="37"/>
      <c r="D60" s="33"/>
      <c r="E60" s="90"/>
      <c r="F60" s="79"/>
      <c r="G60" s="8" t="s">
        <v>6</v>
      </c>
      <c r="H60" s="42">
        <v>9106.39</v>
      </c>
      <c r="I60" s="20">
        <v>8678.89</v>
      </c>
      <c r="J60" s="20"/>
      <c r="K60" s="42"/>
      <c r="L60" s="42"/>
      <c r="M60" s="42"/>
      <c r="N60" s="41">
        <f t="shared" si="10"/>
        <v>433.9445</v>
      </c>
      <c r="O60" s="68">
        <f t="shared" si="0"/>
        <v>7797</v>
      </c>
      <c r="P60" s="198" t="s">
        <v>161</v>
      </c>
      <c r="Q60" s="48"/>
      <c r="R60" s="48">
        <v>887</v>
      </c>
      <c r="S60" s="48"/>
      <c r="T60" s="48"/>
      <c r="U60" s="48"/>
      <c r="V60" s="48"/>
      <c r="W60" s="48"/>
      <c r="X60" s="48">
        <v>6910</v>
      </c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57"/>
    </row>
    <row r="61" spans="2:51" ht="12.75">
      <c r="B61" s="115">
        <v>5</v>
      </c>
      <c r="C61" s="37"/>
      <c r="D61" s="33"/>
      <c r="E61" s="90"/>
      <c r="F61" s="79"/>
      <c r="G61" s="8" t="s">
        <v>7</v>
      </c>
      <c r="H61" s="42">
        <v>13106.52</v>
      </c>
      <c r="I61" s="20">
        <v>14288.07</v>
      </c>
      <c r="J61" s="20"/>
      <c r="K61" s="42"/>
      <c r="L61" s="42"/>
      <c r="M61" s="42"/>
      <c r="N61" s="41">
        <f t="shared" si="10"/>
        <v>714.4035</v>
      </c>
      <c r="O61" s="68">
        <f t="shared" si="0"/>
        <v>19216</v>
      </c>
      <c r="P61" s="197"/>
      <c r="Q61" s="48"/>
      <c r="R61" s="48"/>
      <c r="S61" s="48"/>
      <c r="T61" s="48"/>
      <c r="U61" s="48"/>
      <c r="V61" s="48"/>
      <c r="W61" s="48"/>
      <c r="X61" s="48">
        <v>19216</v>
      </c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57"/>
    </row>
    <row r="62" spans="2:51" ht="12.75">
      <c r="B62" s="115">
        <v>5</v>
      </c>
      <c r="C62" s="37"/>
      <c r="D62" s="33"/>
      <c r="E62" s="90"/>
      <c r="F62" s="79"/>
      <c r="G62" s="8" t="s">
        <v>8</v>
      </c>
      <c r="H62" s="42">
        <v>15110.53</v>
      </c>
      <c r="I62" s="20">
        <v>11505.14</v>
      </c>
      <c r="J62" s="20"/>
      <c r="K62" s="42"/>
      <c r="L62" s="42"/>
      <c r="M62" s="42"/>
      <c r="N62" s="41">
        <f t="shared" si="10"/>
        <v>575.257</v>
      </c>
      <c r="O62" s="68">
        <f t="shared" si="0"/>
        <v>4742</v>
      </c>
      <c r="P62" s="196" t="s">
        <v>271</v>
      </c>
      <c r="Q62" s="48"/>
      <c r="R62" s="48"/>
      <c r="S62" s="48"/>
      <c r="T62" s="48"/>
      <c r="U62" s="48"/>
      <c r="V62" s="48"/>
      <c r="W62" s="48"/>
      <c r="X62" s="48">
        <v>1752</v>
      </c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>
        <v>2990</v>
      </c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57"/>
    </row>
    <row r="63" spans="2:51" ht="12.75">
      <c r="B63" s="115">
        <v>5</v>
      </c>
      <c r="C63" s="37"/>
      <c r="D63" s="33"/>
      <c r="E63" s="90"/>
      <c r="F63" s="79"/>
      <c r="G63" s="8" t="s">
        <v>9</v>
      </c>
      <c r="H63" s="42">
        <v>16955</v>
      </c>
      <c r="I63" s="20">
        <v>18618.96</v>
      </c>
      <c r="J63" s="20"/>
      <c r="K63" s="42"/>
      <c r="L63" s="42"/>
      <c r="M63" s="42"/>
      <c r="N63" s="41">
        <f t="shared" si="10"/>
        <v>930.948</v>
      </c>
      <c r="O63" s="68">
        <f t="shared" si="0"/>
        <v>220778</v>
      </c>
      <c r="P63" s="198" t="s">
        <v>294</v>
      </c>
      <c r="Q63" s="48">
        <f>129263+3984</f>
        <v>133247</v>
      </c>
      <c r="R63" s="48"/>
      <c r="S63" s="48"/>
      <c r="T63" s="48"/>
      <c r="U63" s="48"/>
      <c r="V63" s="48"/>
      <c r="W63" s="48"/>
      <c r="X63" s="48"/>
      <c r="Y63" s="48">
        <v>358</v>
      </c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>
        <v>87173</v>
      </c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57"/>
    </row>
    <row r="64" spans="2:51" ht="12.75">
      <c r="B64" s="115">
        <v>5</v>
      </c>
      <c r="C64" s="37"/>
      <c r="D64" s="33"/>
      <c r="E64" s="90"/>
      <c r="F64" s="79"/>
      <c r="G64" s="8" t="s">
        <v>10</v>
      </c>
      <c r="H64" s="42">
        <v>16955</v>
      </c>
      <c r="I64" s="20">
        <v>16248.95</v>
      </c>
      <c r="J64" s="20"/>
      <c r="K64" s="42"/>
      <c r="L64" s="42"/>
      <c r="M64" s="42"/>
      <c r="N64" s="41">
        <f t="shared" si="10"/>
        <v>812.4475000000001</v>
      </c>
      <c r="O64" s="68">
        <f t="shared" si="0"/>
        <v>0</v>
      </c>
      <c r="P64" s="19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57"/>
    </row>
    <row r="65" spans="2:51" ht="12.75">
      <c r="B65" s="115">
        <v>5</v>
      </c>
      <c r="C65" s="37"/>
      <c r="D65" s="33"/>
      <c r="E65" s="90"/>
      <c r="F65" s="79"/>
      <c r="G65" s="8" t="s">
        <v>11</v>
      </c>
      <c r="H65" s="42">
        <v>16955.28</v>
      </c>
      <c r="I65" s="20">
        <v>11657.53</v>
      </c>
      <c r="J65" s="20"/>
      <c r="K65" s="42"/>
      <c r="L65" s="42"/>
      <c r="M65" s="42"/>
      <c r="N65" s="41">
        <f t="shared" si="10"/>
        <v>582.8765000000001</v>
      </c>
      <c r="O65" s="68">
        <f t="shared" si="0"/>
        <v>16468</v>
      </c>
      <c r="P65" s="198" t="s">
        <v>372</v>
      </c>
      <c r="Q65" s="48">
        <v>604</v>
      </c>
      <c r="R65" s="48"/>
      <c r="S65" s="48"/>
      <c r="T65" s="48">
        <v>6397</v>
      </c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>
        <v>3702</v>
      </c>
      <c r="AH65" s="48"/>
      <c r="AI65" s="48"/>
      <c r="AJ65" s="48"/>
      <c r="AK65" s="48"/>
      <c r="AL65" s="48"/>
      <c r="AM65" s="48"/>
      <c r="AN65" s="48">
        <v>5765</v>
      </c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57"/>
    </row>
    <row r="66" spans="2:51" ht="12.75">
      <c r="B66" s="115">
        <v>5</v>
      </c>
      <c r="C66" s="37"/>
      <c r="D66" s="33"/>
      <c r="E66" s="90"/>
      <c r="F66" s="79"/>
      <c r="G66" s="8" t="s">
        <v>12</v>
      </c>
      <c r="H66" s="42">
        <v>36051.5</v>
      </c>
      <c r="I66" s="20">
        <v>27678.92</v>
      </c>
      <c r="J66" s="20"/>
      <c r="K66" s="42"/>
      <c r="L66" s="42"/>
      <c r="M66" s="42"/>
      <c r="N66" s="41">
        <f t="shared" si="10"/>
        <v>1383.946</v>
      </c>
      <c r="O66" s="68">
        <f t="shared" si="0"/>
        <v>8380</v>
      </c>
      <c r="P66" s="198" t="s">
        <v>330</v>
      </c>
      <c r="Q66" s="48">
        <v>6930</v>
      </c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>
        <f>1290+160</f>
        <v>1450</v>
      </c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57"/>
    </row>
    <row r="67" spans="2:51" ht="12.75">
      <c r="B67" s="115">
        <v>5</v>
      </c>
      <c r="C67" s="37"/>
      <c r="D67" s="33"/>
      <c r="E67" s="90"/>
      <c r="F67" s="79"/>
      <c r="G67" s="8" t="s">
        <v>13</v>
      </c>
      <c r="H67" s="42">
        <v>26532.94</v>
      </c>
      <c r="I67" s="20">
        <v>28981.77</v>
      </c>
      <c r="J67" s="20"/>
      <c r="K67" s="42"/>
      <c r="L67" s="42"/>
      <c r="M67" s="42"/>
      <c r="N67" s="41">
        <f t="shared" si="10"/>
        <v>1449.0885</v>
      </c>
      <c r="O67" s="68">
        <f t="shared" si="0"/>
        <v>38024</v>
      </c>
      <c r="P67" s="198" t="s">
        <v>371</v>
      </c>
      <c r="Q67" s="48">
        <f>28922+725</f>
        <v>29647</v>
      </c>
      <c r="R67" s="48"/>
      <c r="S67" s="48">
        <v>1682</v>
      </c>
      <c r="T67" s="48">
        <v>3681</v>
      </c>
      <c r="U67" s="48"/>
      <c r="V67" s="48"/>
      <c r="W67" s="48"/>
      <c r="X67" s="48"/>
      <c r="Y67" s="48"/>
      <c r="Z67" s="48"/>
      <c r="AA67" s="48">
        <v>2310</v>
      </c>
      <c r="AB67" s="48"/>
      <c r="AC67" s="48"/>
      <c r="AD67" s="48"/>
      <c r="AE67" s="48">
        <v>328</v>
      </c>
      <c r="AF67" s="48">
        <v>207</v>
      </c>
      <c r="AG67" s="48">
        <v>169</v>
      </c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57"/>
    </row>
    <row r="68" spans="2:51" ht="13.5" thickBot="1">
      <c r="B68" s="117">
        <v>5</v>
      </c>
      <c r="C68" s="38"/>
      <c r="D68" s="35"/>
      <c r="E68" s="142"/>
      <c r="F68" s="80"/>
      <c r="G68" s="12" t="s">
        <v>14</v>
      </c>
      <c r="H68" s="42">
        <v>45629.16</v>
      </c>
      <c r="I68" s="21">
        <v>33829.71</v>
      </c>
      <c r="J68" s="66"/>
      <c r="K68" s="42"/>
      <c r="L68" s="42"/>
      <c r="M68" s="42"/>
      <c r="N68" s="41">
        <f t="shared" si="10"/>
        <v>1691.4855</v>
      </c>
      <c r="O68" s="68">
        <f aca="true" t="shared" si="11" ref="O68:O131">SUM(Q68:AX68)</f>
        <v>1255</v>
      </c>
      <c r="P68" s="201" t="s">
        <v>363</v>
      </c>
      <c r="Q68" s="49">
        <v>954</v>
      </c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>
        <v>301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128">
        <f>AY56+(I56-K56-L56-M56-N56)+J56-O56</f>
        <v>-139171.65200000006</v>
      </c>
    </row>
    <row r="69" spans="2:64" s="4" customFormat="1" ht="14.25" thickBot="1" thickTop="1">
      <c r="B69" s="118">
        <v>6</v>
      </c>
      <c r="C69" s="28" t="s">
        <v>17</v>
      </c>
      <c r="D69" s="29">
        <v>45</v>
      </c>
      <c r="E69" s="141" t="s">
        <v>45</v>
      </c>
      <c r="F69" s="77">
        <v>3078.6</v>
      </c>
      <c r="G69" s="50"/>
      <c r="H69" s="69">
        <v>129491.82</v>
      </c>
      <c r="I69" s="70">
        <v>115578.2</v>
      </c>
      <c r="J69" s="70">
        <f>SUM(J70:J81)</f>
        <v>0</v>
      </c>
      <c r="K69" s="69">
        <f>SUM(K70:K81)</f>
        <v>12924.49</v>
      </c>
      <c r="L69" s="69">
        <f>SUM(L70:L81)</f>
        <v>14599.16</v>
      </c>
      <c r="M69" s="69">
        <f>SUM(M70:M81)</f>
        <v>4568.74</v>
      </c>
      <c r="N69" s="69">
        <f>SUM(N70:N81)</f>
        <v>5778.910000000001</v>
      </c>
      <c r="O69" s="16">
        <f t="shared" si="11"/>
        <v>281372</v>
      </c>
      <c r="P69" s="99"/>
      <c r="Q69" s="11">
        <f aca="true" t="shared" si="12" ref="Q69:AX69">SUM(Q70:Q81)</f>
        <v>1898</v>
      </c>
      <c r="R69" s="11">
        <f t="shared" si="12"/>
        <v>1119</v>
      </c>
      <c r="S69" s="11">
        <f t="shared" si="12"/>
        <v>0</v>
      </c>
      <c r="T69" s="11">
        <f t="shared" si="12"/>
        <v>0</v>
      </c>
      <c r="U69" s="11">
        <f t="shared" si="12"/>
        <v>135</v>
      </c>
      <c r="V69" s="11">
        <f t="shared" si="12"/>
        <v>0</v>
      </c>
      <c r="W69" s="11">
        <f t="shared" si="12"/>
        <v>681</v>
      </c>
      <c r="X69" s="11">
        <f t="shared" si="12"/>
        <v>4458</v>
      </c>
      <c r="Y69" s="11">
        <f t="shared" si="12"/>
        <v>0</v>
      </c>
      <c r="Z69" s="11">
        <f t="shared" si="12"/>
        <v>0</v>
      </c>
      <c r="AA69" s="11">
        <f t="shared" si="12"/>
        <v>72328</v>
      </c>
      <c r="AB69" s="11">
        <f t="shared" si="12"/>
        <v>790</v>
      </c>
      <c r="AC69" s="11">
        <f t="shared" si="12"/>
        <v>0</v>
      </c>
      <c r="AD69" s="11">
        <f t="shared" si="12"/>
        <v>0</v>
      </c>
      <c r="AE69" s="11">
        <f t="shared" si="12"/>
        <v>0</v>
      </c>
      <c r="AF69" s="11">
        <f t="shared" si="12"/>
        <v>0</v>
      </c>
      <c r="AG69" s="11">
        <f t="shared" si="12"/>
        <v>0</v>
      </c>
      <c r="AH69" s="11">
        <f t="shared" si="12"/>
        <v>0</v>
      </c>
      <c r="AI69" s="11">
        <f t="shared" si="12"/>
        <v>0</v>
      </c>
      <c r="AJ69" s="11">
        <f t="shared" si="12"/>
        <v>0</v>
      </c>
      <c r="AK69" s="11">
        <f t="shared" si="12"/>
        <v>0</v>
      </c>
      <c r="AL69" s="11">
        <f t="shared" si="12"/>
        <v>0</v>
      </c>
      <c r="AM69" s="11">
        <f t="shared" si="12"/>
        <v>0</v>
      </c>
      <c r="AN69" s="11">
        <f t="shared" si="12"/>
        <v>199963</v>
      </c>
      <c r="AO69" s="11">
        <f>SUM(AO70:AO81)</f>
        <v>0</v>
      </c>
      <c r="AP69" s="11">
        <f t="shared" si="12"/>
        <v>0</v>
      </c>
      <c r="AQ69" s="11">
        <f t="shared" si="12"/>
        <v>0</v>
      </c>
      <c r="AR69" s="11">
        <f t="shared" si="12"/>
        <v>0</v>
      </c>
      <c r="AS69" s="11">
        <f>SUM(AS70:AS81)</f>
        <v>0</v>
      </c>
      <c r="AT69" s="11">
        <f>SUM(AT70:AT81)</f>
        <v>0</v>
      </c>
      <c r="AU69" s="11">
        <f>SUM(AU70:AU81)</f>
        <v>0</v>
      </c>
      <c r="AV69" s="11">
        <f t="shared" si="12"/>
        <v>0</v>
      </c>
      <c r="AW69" s="11">
        <f t="shared" si="12"/>
        <v>0</v>
      </c>
      <c r="AX69" s="11">
        <f t="shared" si="12"/>
        <v>0</v>
      </c>
      <c r="AY69" s="127">
        <v>73638.5</v>
      </c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2:51" ht="13.5" thickTop="1">
      <c r="B70" s="119">
        <v>6</v>
      </c>
      <c r="C70" s="30" t="s">
        <v>68</v>
      </c>
      <c r="D70" s="31"/>
      <c r="E70" s="89" t="s">
        <v>95</v>
      </c>
      <c r="F70" s="78"/>
      <c r="G70" s="9" t="s">
        <v>3</v>
      </c>
      <c r="H70" s="41">
        <v>7834.88</v>
      </c>
      <c r="I70" s="19">
        <v>5747.66</v>
      </c>
      <c r="J70" s="19"/>
      <c r="K70" s="41">
        <v>12924.49</v>
      </c>
      <c r="L70" s="41">
        <v>14599.16</v>
      </c>
      <c r="M70" s="41">
        <v>4568.74</v>
      </c>
      <c r="N70" s="41">
        <f aca="true" t="shared" si="13" ref="N70:N81">I70*0.05</f>
        <v>287.383</v>
      </c>
      <c r="O70" s="68">
        <f t="shared" si="11"/>
        <v>1462</v>
      </c>
      <c r="P70" s="107" t="s">
        <v>236</v>
      </c>
      <c r="Q70" s="39">
        <v>1062</v>
      </c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>
        <v>400</v>
      </c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131"/>
    </row>
    <row r="71" spans="2:51" ht="12.75">
      <c r="B71" s="119">
        <v>6</v>
      </c>
      <c r="C71" s="37"/>
      <c r="D71" s="33"/>
      <c r="E71" s="90" t="s">
        <v>93</v>
      </c>
      <c r="F71" s="79"/>
      <c r="G71" s="8" t="s">
        <v>4</v>
      </c>
      <c r="H71" s="42">
        <v>7834.88</v>
      </c>
      <c r="I71" s="20">
        <v>5733.21</v>
      </c>
      <c r="J71" s="20"/>
      <c r="K71" s="42"/>
      <c r="L71" s="42"/>
      <c r="M71" s="42"/>
      <c r="N71" s="41">
        <f t="shared" si="13"/>
        <v>286.6605</v>
      </c>
      <c r="O71" s="68">
        <f t="shared" si="11"/>
        <v>605</v>
      </c>
      <c r="P71" s="166"/>
      <c r="Q71" s="48"/>
      <c r="R71" s="48">
        <v>605</v>
      </c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57"/>
    </row>
    <row r="72" spans="2:51" ht="12.75">
      <c r="B72" s="119">
        <v>6</v>
      </c>
      <c r="C72" s="37"/>
      <c r="D72" s="33"/>
      <c r="E72" s="90" t="s">
        <v>116</v>
      </c>
      <c r="F72" s="79"/>
      <c r="G72" s="8" t="s">
        <v>5</v>
      </c>
      <c r="H72" s="42">
        <v>7834.88</v>
      </c>
      <c r="I72" s="20">
        <v>8227.41</v>
      </c>
      <c r="J72" s="20"/>
      <c r="K72" s="42"/>
      <c r="L72" s="42"/>
      <c r="M72" s="42"/>
      <c r="N72" s="41">
        <f t="shared" si="13"/>
        <v>411.3705</v>
      </c>
      <c r="O72" s="68">
        <f t="shared" si="11"/>
        <v>390</v>
      </c>
      <c r="P72" s="216" t="s">
        <v>235</v>
      </c>
      <c r="Q72" s="48"/>
      <c r="R72" s="48"/>
      <c r="S72" s="48"/>
      <c r="T72" s="48"/>
      <c r="U72" s="48"/>
      <c r="V72" s="48"/>
      <c r="W72" s="48"/>
      <c r="X72" s="48"/>
      <c r="Y72" s="92"/>
      <c r="Z72" s="48"/>
      <c r="AA72" s="48"/>
      <c r="AB72" s="48">
        <v>390</v>
      </c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57"/>
    </row>
    <row r="73" spans="2:51" ht="12.75">
      <c r="B73" s="119">
        <v>6</v>
      </c>
      <c r="C73" s="37"/>
      <c r="D73" s="33"/>
      <c r="E73" s="88"/>
      <c r="F73" s="79"/>
      <c r="G73" s="8" t="s">
        <v>6</v>
      </c>
      <c r="H73" s="42">
        <v>7834.88</v>
      </c>
      <c r="I73" s="20">
        <v>6480.87</v>
      </c>
      <c r="J73" s="20"/>
      <c r="K73" s="42"/>
      <c r="L73" s="42"/>
      <c r="M73" s="42"/>
      <c r="N73" s="41">
        <f t="shared" si="13"/>
        <v>324.0435</v>
      </c>
      <c r="O73" s="68">
        <f t="shared" si="11"/>
        <v>0</v>
      </c>
      <c r="P73" s="176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57"/>
    </row>
    <row r="74" spans="2:51" ht="12.75">
      <c r="B74" s="119">
        <v>6</v>
      </c>
      <c r="C74" s="37"/>
      <c r="D74" s="33"/>
      <c r="E74" s="88"/>
      <c r="F74" s="79"/>
      <c r="G74" s="8" t="s">
        <v>7</v>
      </c>
      <c r="H74" s="42">
        <v>7834.88</v>
      </c>
      <c r="I74" s="20">
        <v>8760.47</v>
      </c>
      <c r="J74" s="20"/>
      <c r="K74" s="42"/>
      <c r="L74" s="42"/>
      <c r="M74" s="42"/>
      <c r="N74" s="41">
        <f t="shared" si="13"/>
        <v>438.0235</v>
      </c>
      <c r="O74" s="68">
        <f t="shared" si="11"/>
        <v>199963</v>
      </c>
      <c r="P74" s="9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>
        <v>199963</v>
      </c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57"/>
    </row>
    <row r="75" spans="2:51" ht="12.75">
      <c r="B75" s="119">
        <v>6</v>
      </c>
      <c r="C75" s="37"/>
      <c r="D75" s="33"/>
      <c r="E75" s="88"/>
      <c r="F75" s="79"/>
      <c r="G75" s="8" t="s">
        <v>8</v>
      </c>
      <c r="H75" s="42">
        <v>7834.88</v>
      </c>
      <c r="I75" s="20">
        <v>6279.14</v>
      </c>
      <c r="J75" s="20"/>
      <c r="K75" s="42"/>
      <c r="L75" s="42"/>
      <c r="M75" s="42"/>
      <c r="N75" s="41">
        <f t="shared" si="13"/>
        <v>313.95700000000005</v>
      </c>
      <c r="O75" s="68">
        <f t="shared" si="11"/>
        <v>0</v>
      </c>
      <c r="P75" s="9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57"/>
    </row>
    <row r="76" spans="2:51" ht="12.75">
      <c r="B76" s="119">
        <v>6</v>
      </c>
      <c r="C76" s="37"/>
      <c r="D76" s="33"/>
      <c r="E76" s="88"/>
      <c r="F76" s="79"/>
      <c r="G76" s="8" t="s">
        <v>9</v>
      </c>
      <c r="H76" s="42">
        <v>8791.27</v>
      </c>
      <c r="I76" s="20">
        <v>9591.54</v>
      </c>
      <c r="J76" s="20"/>
      <c r="K76" s="42"/>
      <c r="L76" s="42"/>
      <c r="M76" s="42"/>
      <c r="N76" s="41">
        <f t="shared" si="13"/>
        <v>479.57700000000006</v>
      </c>
      <c r="O76" s="68">
        <f t="shared" si="11"/>
        <v>50958</v>
      </c>
      <c r="P76" s="98" t="s">
        <v>291</v>
      </c>
      <c r="Q76" s="48"/>
      <c r="R76" s="48"/>
      <c r="S76" s="48"/>
      <c r="T76" s="48"/>
      <c r="U76" s="48"/>
      <c r="V76" s="48"/>
      <c r="W76" s="48"/>
      <c r="X76" s="48">
        <v>4458</v>
      </c>
      <c r="Y76" s="48"/>
      <c r="Z76" s="48"/>
      <c r="AA76" s="48">
        <v>46500</v>
      </c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57"/>
    </row>
    <row r="77" spans="2:51" ht="12.75">
      <c r="B77" s="119">
        <v>6</v>
      </c>
      <c r="C77" s="37"/>
      <c r="D77" s="33"/>
      <c r="E77" s="88"/>
      <c r="F77" s="79"/>
      <c r="G77" s="8" t="s">
        <v>10</v>
      </c>
      <c r="H77" s="42">
        <v>8791.27</v>
      </c>
      <c r="I77" s="20">
        <v>8277.43</v>
      </c>
      <c r="J77" s="20"/>
      <c r="K77" s="42"/>
      <c r="L77" s="42"/>
      <c r="M77" s="42"/>
      <c r="N77" s="41">
        <f t="shared" si="13"/>
        <v>413.8715</v>
      </c>
      <c r="O77" s="68">
        <f t="shared" si="11"/>
        <v>0</v>
      </c>
      <c r="P77" s="9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57"/>
    </row>
    <row r="78" spans="2:51" ht="12.75">
      <c r="B78" s="119">
        <v>6</v>
      </c>
      <c r="C78" s="37"/>
      <c r="D78" s="33"/>
      <c r="E78" s="88"/>
      <c r="F78" s="79"/>
      <c r="G78" s="8" t="s">
        <v>11</v>
      </c>
      <c r="H78" s="42">
        <v>8791.27</v>
      </c>
      <c r="I78" s="20">
        <v>6778.35</v>
      </c>
      <c r="J78" s="20"/>
      <c r="K78" s="42"/>
      <c r="L78" s="42"/>
      <c r="M78" s="42"/>
      <c r="N78" s="41">
        <f t="shared" si="13"/>
        <v>338.9175</v>
      </c>
      <c r="O78" s="68">
        <f t="shared" si="11"/>
        <v>1063</v>
      </c>
      <c r="P78" s="166" t="s">
        <v>310</v>
      </c>
      <c r="Q78" s="48">
        <v>382</v>
      </c>
      <c r="R78" s="48"/>
      <c r="S78" s="48"/>
      <c r="T78" s="48"/>
      <c r="U78" s="48"/>
      <c r="V78" s="48"/>
      <c r="W78" s="48">
        <v>681</v>
      </c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57"/>
    </row>
    <row r="79" spans="2:51" ht="12.75">
      <c r="B79" s="119">
        <v>6</v>
      </c>
      <c r="C79" s="37"/>
      <c r="D79" s="33"/>
      <c r="E79" s="88"/>
      <c r="F79" s="79"/>
      <c r="G79" s="8" t="s">
        <v>12</v>
      </c>
      <c r="H79" s="42">
        <v>23658.73</v>
      </c>
      <c r="I79" s="20">
        <v>11081.81</v>
      </c>
      <c r="J79" s="20"/>
      <c r="K79" s="42"/>
      <c r="L79" s="42"/>
      <c r="M79" s="42"/>
      <c r="N79" s="41">
        <f t="shared" si="13"/>
        <v>554.0905</v>
      </c>
      <c r="O79" s="68">
        <f t="shared" si="11"/>
        <v>26342</v>
      </c>
      <c r="P79" s="98" t="s">
        <v>339</v>
      </c>
      <c r="Q79" s="48"/>
      <c r="R79" s="48">
        <v>514</v>
      </c>
      <c r="S79" s="48"/>
      <c r="T79" s="48"/>
      <c r="U79" s="48"/>
      <c r="V79" s="48"/>
      <c r="W79" s="48"/>
      <c r="X79" s="48"/>
      <c r="Y79" s="48"/>
      <c r="Z79" s="48"/>
      <c r="AA79" s="48">
        <v>25828</v>
      </c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57"/>
    </row>
    <row r="80" spans="2:51" ht="12.75">
      <c r="B80" s="119">
        <v>6</v>
      </c>
      <c r="C80" s="37"/>
      <c r="D80" s="33"/>
      <c r="E80" s="88"/>
      <c r="F80" s="79"/>
      <c r="G80" s="8" t="s">
        <v>13</v>
      </c>
      <c r="H80" s="42">
        <v>16225</v>
      </c>
      <c r="I80" s="20">
        <v>17857.73</v>
      </c>
      <c r="J80" s="20"/>
      <c r="K80" s="42"/>
      <c r="L80" s="42"/>
      <c r="M80" s="42"/>
      <c r="N80" s="41">
        <f t="shared" si="13"/>
        <v>892.8865000000001</v>
      </c>
      <c r="O80" s="68">
        <f t="shared" si="11"/>
        <v>0</v>
      </c>
      <c r="P80" s="9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57"/>
    </row>
    <row r="81" spans="2:51" ht="13.5" thickBot="1">
      <c r="B81" s="121">
        <v>6</v>
      </c>
      <c r="C81" s="38"/>
      <c r="D81" s="35"/>
      <c r="E81" s="125"/>
      <c r="F81" s="80"/>
      <c r="G81" s="12" t="s">
        <v>14</v>
      </c>
      <c r="H81" s="42">
        <v>16225</v>
      </c>
      <c r="I81" s="21">
        <v>20762.58</v>
      </c>
      <c r="J81" s="66"/>
      <c r="K81" s="42"/>
      <c r="L81" s="42"/>
      <c r="M81" s="42"/>
      <c r="N81" s="41">
        <f t="shared" si="13"/>
        <v>1038.1290000000001</v>
      </c>
      <c r="O81" s="68">
        <f t="shared" si="11"/>
        <v>589</v>
      </c>
      <c r="P81" s="108" t="s">
        <v>386</v>
      </c>
      <c r="Q81" s="49">
        <v>454</v>
      </c>
      <c r="R81" s="49"/>
      <c r="S81" s="49"/>
      <c r="T81" s="49"/>
      <c r="U81" s="49">
        <v>135</v>
      </c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128">
        <f>AY69+(I69-K69-L69-M69-N69)+J69-O69</f>
        <v>-130026.60000000003</v>
      </c>
    </row>
    <row r="82" spans="2:64" s="4" customFormat="1" ht="14.25" thickBot="1" thickTop="1">
      <c r="B82" s="118">
        <v>7</v>
      </c>
      <c r="C82" s="28" t="s">
        <v>17</v>
      </c>
      <c r="D82" s="29">
        <v>55</v>
      </c>
      <c r="E82" s="141" t="s">
        <v>45</v>
      </c>
      <c r="F82" s="77">
        <v>3097.4</v>
      </c>
      <c r="G82" s="50"/>
      <c r="H82" s="69">
        <v>9883.44</v>
      </c>
      <c r="I82" s="70">
        <v>8506.21</v>
      </c>
      <c r="J82" s="70">
        <f>SUM(J83:J94)</f>
        <v>0</v>
      </c>
      <c r="K82" s="69">
        <f>SUM(K83:K94)</f>
        <v>12232.27</v>
      </c>
      <c r="L82" s="69">
        <f>SUM(L83:L94)</f>
        <v>11985.25</v>
      </c>
      <c r="M82" s="69">
        <f>SUM(M83:M94)</f>
        <v>140.98</v>
      </c>
      <c r="N82" s="69">
        <f>SUM(N83:N94)</f>
        <v>425.31050000000005</v>
      </c>
      <c r="O82" s="16">
        <f t="shared" si="11"/>
        <v>28832</v>
      </c>
      <c r="P82" s="99"/>
      <c r="Q82" s="11">
        <f aca="true" t="shared" si="14" ref="Q82:AX82">SUM(Q83:Q94)</f>
        <v>2273</v>
      </c>
      <c r="R82" s="11">
        <f t="shared" si="14"/>
        <v>504</v>
      </c>
      <c r="S82" s="11">
        <f t="shared" si="14"/>
        <v>2041</v>
      </c>
      <c r="T82" s="11">
        <f t="shared" si="14"/>
        <v>1027</v>
      </c>
      <c r="U82" s="11">
        <f t="shared" si="14"/>
        <v>0</v>
      </c>
      <c r="V82" s="11">
        <f t="shared" si="14"/>
        <v>500</v>
      </c>
      <c r="W82" s="11">
        <f t="shared" si="14"/>
        <v>0</v>
      </c>
      <c r="X82" s="11">
        <f t="shared" si="14"/>
        <v>21410</v>
      </c>
      <c r="Y82" s="11">
        <f t="shared" si="14"/>
        <v>0</v>
      </c>
      <c r="Z82" s="11">
        <f t="shared" si="14"/>
        <v>0</v>
      </c>
      <c r="AA82" s="11">
        <f t="shared" si="14"/>
        <v>0</v>
      </c>
      <c r="AB82" s="11">
        <f t="shared" si="14"/>
        <v>0</v>
      </c>
      <c r="AC82" s="11">
        <f t="shared" si="14"/>
        <v>0</v>
      </c>
      <c r="AD82" s="11">
        <f t="shared" si="14"/>
        <v>0</v>
      </c>
      <c r="AE82" s="11">
        <f t="shared" si="14"/>
        <v>0</v>
      </c>
      <c r="AF82" s="11">
        <f t="shared" si="14"/>
        <v>0</v>
      </c>
      <c r="AG82" s="11">
        <f t="shared" si="14"/>
        <v>1077</v>
      </c>
      <c r="AH82" s="11">
        <f t="shared" si="14"/>
        <v>0</v>
      </c>
      <c r="AI82" s="11">
        <f t="shared" si="14"/>
        <v>0</v>
      </c>
      <c r="AJ82" s="11">
        <f t="shared" si="14"/>
        <v>0</v>
      </c>
      <c r="AK82" s="11">
        <f t="shared" si="14"/>
        <v>0</v>
      </c>
      <c r="AL82" s="11">
        <f t="shared" si="14"/>
        <v>0</v>
      </c>
      <c r="AM82" s="11">
        <f t="shared" si="14"/>
        <v>0</v>
      </c>
      <c r="AN82" s="11">
        <f t="shared" si="14"/>
        <v>0</v>
      </c>
      <c r="AO82" s="11">
        <f>SUM(AO83:AO94)</f>
        <v>0</v>
      </c>
      <c r="AP82" s="11">
        <f t="shared" si="14"/>
        <v>0</v>
      </c>
      <c r="AQ82" s="11">
        <f t="shared" si="14"/>
        <v>0</v>
      </c>
      <c r="AR82" s="11">
        <f t="shared" si="14"/>
        <v>0</v>
      </c>
      <c r="AS82" s="11">
        <f>SUM(AS83:AS94)</f>
        <v>0</v>
      </c>
      <c r="AT82" s="11">
        <f>SUM(AT83:AT94)</f>
        <v>0</v>
      </c>
      <c r="AU82" s="11">
        <f>SUM(AU83:AU94)</f>
        <v>0</v>
      </c>
      <c r="AV82" s="11">
        <f t="shared" si="14"/>
        <v>0</v>
      </c>
      <c r="AW82" s="11">
        <f t="shared" si="14"/>
        <v>0</v>
      </c>
      <c r="AX82" s="11">
        <f t="shared" si="14"/>
        <v>0</v>
      </c>
      <c r="AY82" s="127">
        <v>-21064.64</v>
      </c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2:51" ht="13.5" thickTop="1">
      <c r="B83" s="119">
        <v>7</v>
      </c>
      <c r="C83" s="30" t="s">
        <v>68</v>
      </c>
      <c r="D83" s="31"/>
      <c r="E83" s="89" t="s">
        <v>95</v>
      </c>
      <c r="F83" s="78"/>
      <c r="G83" s="9" t="s">
        <v>3</v>
      </c>
      <c r="H83" s="41">
        <v>0</v>
      </c>
      <c r="I83" s="19">
        <v>0</v>
      </c>
      <c r="J83" s="19">
        <f>'[1]Учет по КР '!G18</f>
        <v>0</v>
      </c>
      <c r="K83" s="41">
        <v>12232.27</v>
      </c>
      <c r="L83" s="41">
        <v>11985.25</v>
      </c>
      <c r="M83" s="41">
        <v>140.98</v>
      </c>
      <c r="N83" s="41">
        <f aca="true" t="shared" si="15" ref="N83:N94">I83*0.05</f>
        <v>0</v>
      </c>
      <c r="O83" s="68">
        <f t="shared" si="11"/>
        <v>0</v>
      </c>
      <c r="P83" s="105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131"/>
    </row>
    <row r="84" spans="2:51" ht="12.75">
      <c r="B84" s="119">
        <v>7</v>
      </c>
      <c r="C84" s="169" t="s">
        <v>77</v>
      </c>
      <c r="D84" s="33"/>
      <c r="E84" s="90" t="s">
        <v>93</v>
      </c>
      <c r="F84" s="79"/>
      <c r="G84" s="8" t="s">
        <v>4</v>
      </c>
      <c r="H84" s="42">
        <v>0</v>
      </c>
      <c r="I84" s="20">
        <v>0</v>
      </c>
      <c r="J84" s="19">
        <f>'[1]Учет по КР '!G19</f>
        <v>0</v>
      </c>
      <c r="K84" s="42"/>
      <c r="L84" s="42"/>
      <c r="M84" s="42"/>
      <c r="N84" s="41">
        <f t="shared" si="15"/>
        <v>0</v>
      </c>
      <c r="O84" s="68">
        <f t="shared" si="11"/>
        <v>0</v>
      </c>
      <c r="P84" s="95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57"/>
    </row>
    <row r="85" spans="2:51" ht="12.75">
      <c r="B85" s="119">
        <v>7</v>
      </c>
      <c r="C85" s="37"/>
      <c r="D85" s="33"/>
      <c r="E85" s="90" t="s">
        <v>118</v>
      </c>
      <c r="F85" s="79"/>
      <c r="G85" s="8" t="s">
        <v>5</v>
      </c>
      <c r="H85" s="42">
        <v>0</v>
      </c>
      <c r="I85" s="20">
        <v>0</v>
      </c>
      <c r="J85" s="19">
        <f>'[1]Учет по КР '!G20</f>
        <v>0</v>
      </c>
      <c r="K85" s="42"/>
      <c r="L85" s="42"/>
      <c r="M85" s="42"/>
      <c r="N85" s="41">
        <f t="shared" si="15"/>
        <v>0</v>
      </c>
      <c r="O85" s="68">
        <f t="shared" si="11"/>
        <v>2201</v>
      </c>
      <c r="P85" s="98" t="s">
        <v>201</v>
      </c>
      <c r="Q85" s="48">
        <v>539</v>
      </c>
      <c r="R85" s="48"/>
      <c r="S85" s="48">
        <v>585</v>
      </c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>
        <v>1077</v>
      </c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57"/>
    </row>
    <row r="86" spans="2:51" ht="12.75">
      <c r="B86" s="119">
        <v>7</v>
      </c>
      <c r="C86" s="37"/>
      <c r="D86" s="33"/>
      <c r="E86" s="170" t="s">
        <v>78</v>
      </c>
      <c r="F86" s="79"/>
      <c r="G86" s="8" t="s">
        <v>6</v>
      </c>
      <c r="H86" s="42">
        <v>0</v>
      </c>
      <c r="I86" s="20">
        <v>387.19</v>
      </c>
      <c r="J86" s="19">
        <f>'[1]Учет по КР '!G21</f>
        <v>0</v>
      </c>
      <c r="K86" s="42"/>
      <c r="L86" s="42"/>
      <c r="M86" s="42"/>
      <c r="N86" s="41">
        <f t="shared" si="15"/>
        <v>19.3595</v>
      </c>
      <c r="O86" s="68">
        <f t="shared" si="11"/>
        <v>292</v>
      </c>
      <c r="P86" s="95" t="s">
        <v>176</v>
      </c>
      <c r="Q86" s="48">
        <v>292</v>
      </c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57"/>
    </row>
    <row r="87" spans="2:51" ht="12.75">
      <c r="B87" s="119">
        <v>7</v>
      </c>
      <c r="C87" s="37"/>
      <c r="D87" s="33"/>
      <c r="E87" s="170" t="s">
        <v>78</v>
      </c>
      <c r="F87" s="79"/>
      <c r="G87" s="8" t="s">
        <v>7</v>
      </c>
      <c r="H87" s="42">
        <v>0</v>
      </c>
      <c r="I87" s="20">
        <v>0</v>
      </c>
      <c r="J87" s="19">
        <f>'[1]Учет по КР '!G22</f>
        <v>0</v>
      </c>
      <c r="K87" s="42"/>
      <c r="L87" s="42"/>
      <c r="M87" s="42"/>
      <c r="N87" s="41">
        <f t="shared" si="15"/>
        <v>0</v>
      </c>
      <c r="O87" s="68">
        <f t="shared" si="11"/>
        <v>21410</v>
      </c>
      <c r="P87" s="98"/>
      <c r="Q87" s="48"/>
      <c r="R87" s="48"/>
      <c r="S87" s="48"/>
      <c r="T87" s="48"/>
      <c r="U87" s="48"/>
      <c r="V87" s="48"/>
      <c r="W87" s="48"/>
      <c r="X87" s="48">
        <v>21410</v>
      </c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57"/>
    </row>
    <row r="88" spans="2:51" ht="12.75">
      <c r="B88" s="119">
        <v>7</v>
      </c>
      <c r="C88" s="37"/>
      <c r="D88" s="33"/>
      <c r="E88" s="170" t="s">
        <v>78</v>
      </c>
      <c r="F88" s="79"/>
      <c r="G88" s="8" t="s">
        <v>8</v>
      </c>
      <c r="H88" s="42">
        <v>0</v>
      </c>
      <c r="I88" s="20">
        <v>0</v>
      </c>
      <c r="J88" s="19">
        <f>'[1]Учет по КР '!G23</f>
        <v>0</v>
      </c>
      <c r="K88" s="42"/>
      <c r="L88" s="42"/>
      <c r="M88" s="42"/>
      <c r="N88" s="41">
        <f t="shared" si="15"/>
        <v>0</v>
      </c>
      <c r="O88" s="68">
        <f t="shared" si="11"/>
        <v>1160</v>
      </c>
      <c r="P88" s="98" t="s">
        <v>273</v>
      </c>
      <c r="Q88" s="48">
        <v>757</v>
      </c>
      <c r="R88" s="48">
        <v>403</v>
      </c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57"/>
    </row>
    <row r="89" spans="2:51" ht="12.75">
      <c r="B89" s="119">
        <v>7</v>
      </c>
      <c r="C89" s="37"/>
      <c r="D89" s="33"/>
      <c r="E89" s="170" t="s">
        <v>78</v>
      </c>
      <c r="F89" s="79"/>
      <c r="G89" s="8" t="s">
        <v>9</v>
      </c>
      <c r="H89" s="42">
        <v>0</v>
      </c>
      <c r="I89" s="20">
        <v>0</v>
      </c>
      <c r="J89" s="19">
        <f>'[1]Учет по КР '!G24</f>
        <v>0</v>
      </c>
      <c r="K89" s="42"/>
      <c r="L89" s="42"/>
      <c r="M89" s="42"/>
      <c r="N89" s="41">
        <f t="shared" si="15"/>
        <v>0</v>
      </c>
      <c r="O89" s="68">
        <f t="shared" si="11"/>
        <v>0</v>
      </c>
      <c r="P89" s="9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57"/>
    </row>
    <row r="90" spans="2:51" ht="12.75">
      <c r="B90" s="119">
        <v>7</v>
      </c>
      <c r="C90" s="37"/>
      <c r="D90" s="33"/>
      <c r="E90" s="170" t="s">
        <v>78</v>
      </c>
      <c r="F90" s="79"/>
      <c r="G90" s="8" t="s">
        <v>10</v>
      </c>
      <c r="H90" s="42">
        <v>0</v>
      </c>
      <c r="I90" s="20">
        <v>0</v>
      </c>
      <c r="J90" s="19">
        <f>'[1]Учет по КР '!G25</f>
        <v>0</v>
      </c>
      <c r="K90" s="42"/>
      <c r="L90" s="42"/>
      <c r="M90" s="42"/>
      <c r="N90" s="41">
        <f t="shared" si="15"/>
        <v>0</v>
      </c>
      <c r="O90" s="68">
        <f t="shared" si="11"/>
        <v>0</v>
      </c>
      <c r="P90" s="176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57"/>
    </row>
    <row r="91" spans="2:51" ht="12.75">
      <c r="B91" s="119">
        <v>7</v>
      </c>
      <c r="C91" s="37"/>
      <c r="D91" s="33"/>
      <c r="E91" s="170" t="s">
        <v>78</v>
      </c>
      <c r="F91" s="79"/>
      <c r="G91" s="8" t="s">
        <v>11</v>
      </c>
      <c r="H91" s="42">
        <v>0</v>
      </c>
      <c r="I91" s="20">
        <v>0</v>
      </c>
      <c r="J91" s="19">
        <f>'[1]Учет по КР '!G26</f>
        <v>0</v>
      </c>
      <c r="K91" s="42"/>
      <c r="L91" s="42"/>
      <c r="M91" s="42"/>
      <c r="N91" s="41">
        <f t="shared" si="15"/>
        <v>0</v>
      </c>
      <c r="O91" s="68">
        <f t="shared" si="11"/>
        <v>0</v>
      </c>
      <c r="P91" s="9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57"/>
    </row>
    <row r="92" spans="2:51" ht="12.75">
      <c r="B92" s="119">
        <v>7</v>
      </c>
      <c r="C92" s="37"/>
      <c r="D92" s="33"/>
      <c r="E92" s="170" t="s">
        <v>78</v>
      </c>
      <c r="F92" s="79"/>
      <c r="G92" s="8" t="s">
        <v>12</v>
      </c>
      <c r="H92" s="42">
        <v>4958.88</v>
      </c>
      <c r="I92" s="20">
        <v>964.06</v>
      </c>
      <c r="J92" s="19">
        <f>'[1]Учет по КР '!G27</f>
        <v>0</v>
      </c>
      <c r="K92" s="42"/>
      <c r="L92" s="42"/>
      <c r="M92" s="42"/>
      <c r="N92" s="41">
        <f t="shared" si="15"/>
        <v>48.203</v>
      </c>
      <c r="O92" s="68">
        <f t="shared" si="11"/>
        <v>1456</v>
      </c>
      <c r="P92" s="98" t="s">
        <v>338</v>
      </c>
      <c r="Q92" s="48"/>
      <c r="R92" s="48"/>
      <c r="S92" s="48">
        <v>1456</v>
      </c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57"/>
    </row>
    <row r="93" spans="2:51" ht="12.75">
      <c r="B93" s="119">
        <v>7</v>
      </c>
      <c r="C93" s="37"/>
      <c r="D93" s="33"/>
      <c r="E93" s="170" t="s">
        <v>78</v>
      </c>
      <c r="F93" s="79"/>
      <c r="G93" s="8" t="s">
        <v>13</v>
      </c>
      <c r="H93" s="42">
        <v>2481.84</v>
      </c>
      <c r="I93" s="20">
        <v>3970.34</v>
      </c>
      <c r="J93" s="19">
        <f>'[1]Учет по КР '!G28</f>
        <v>0</v>
      </c>
      <c r="K93" s="42"/>
      <c r="L93" s="42"/>
      <c r="M93" s="42"/>
      <c r="N93" s="41">
        <f t="shared" si="15"/>
        <v>198.51700000000002</v>
      </c>
      <c r="O93" s="68">
        <f t="shared" si="11"/>
        <v>1766</v>
      </c>
      <c r="P93" s="98" t="s">
        <v>350</v>
      </c>
      <c r="Q93" s="48">
        <v>239</v>
      </c>
      <c r="R93" s="48"/>
      <c r="S93" s="48"/>
      <c r="T93" s="48">
        <v>1027</v>
      </c>
      <c r="U93" s="48"/>
      <c r="V93" s="48">
        <v>500</v>
      </c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57"/>
    </row>
    <row r="94" spans="2:51" ht="13.5" thickBot="1">
      <c r="B94" s="121">
        <v>7</v>
      </c>
      <c r="C94" s="38"/>
      <c r="D94" s="35"/>
      <c r="E94" s="171" t="s">
        <v>78</v>
      </c>
      <c r="F94" s="80"/>
      <c r="G94" s="12" t="s">
        <v>14</v>
      </c>
      <c r="H94" s="43">
        <v>2442.72</v>
      </c>
      <c r="I94" s="21">
        <v>3184.62</v>
      </c>
      <c r="J94" s="19">
        <f>'[1]Учет по КР '!G29</f>
        <v>0</v>
      </c>
      <c r="K94" s="43"/>
      <c r="L94" s="43"/>
      <c r="M94" s="43"/>
      <c r="N94" s="41">
        <f t="shared" si="15"/>
        <v>159.231</v>
      </c>
      <c r="O94" s="68">
        <f t="shared" si="11"/>
        <v>547</v>
      </c>
      <c r="P94" s="108" t="s">
        <v>364</v>
      </c>
      <c r="Q94" s="49">
        <v>446</v>
      </c>
      <c r="R94" s="49">
        <v>101</v>
      </c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128">
        <f>AY82+(I82-K82-L82-M82-N82)+J82-O82</f>
        <v>-66174.2405</v>
      </c>
    </row>
    <row r="95" spans="2:64" s="4" customFormat="1" ht="14.25" thickBot="1" thickTop="1">
      <c r="B95" s="114">
        <v>8</v>
      </c>
      <c r="C95" s="28" t="s">
        <v>18</v>
      </c>
      <c r="D95" s="29">
        <v>81</v>
      </c>
      <c r="E95" s="141" t="s">
        <v>45</v>
      </c>
      <c r="F95" s="77">
        <v>3601.3</v>
      </c>
      <c r="G95" s="50"/>
      <c r="H95" s="69">
        <v>151072.99999999997</v>
      </c>
      <c r="I95" s="70">
        <v>141754.30000000002</v>
      </c>
      <c r="J95" s="70">
        <f>SUM(J96:J107)</f>
        <v>0</v>
      </c>
      <c r="K95" s="69">
        <f>SUM(K96:K107)</f>
        <v>13815.65</v>
      </c>
      <c r="L95" s="69">
        <f>SUM(L96:L107)</f>
        <v>18572</v>
      </c>
      <c r="M95" s="69">
        <f>SUM(M96:M107)</f>
        <v>5654.2</v>
      </c>
      <c r="N95" s="69">
        <f>SUM(N96:N107)</f>
        <v>7087.715000000001</v>
      </c>
      <c r="O95" s="69">
        <f t="shared" si="11"/>
        <v>47273</v>
      </c>
      <c r="P95" s="97"/>
      <c r="Q95" s="50">
        <f aca="true" t="shared" si="16" ref="Q95:AX95">SUM(Q96:Q107)</f>
        <v>4332</v>
      </c>
      <c r="R95" s="50">
        <f t="shared" si="16"/>
        <v>1190</v>
      </c>
      <c r="S95" s="50">
        <f t="shared" si="16"/>
        <v>7394</v>
      </c>
      <c r="T95" s="50">
        <f t="shared" si="16"/>
        <v>2663</v>
      </c>
      <c r="U95" s="50">
        <f t="shared" si="16"/>
        <v>0</v>
      </c>
      <c r="V95" s="50">
        <f t="shared" si="16"/>
        <v>0</v>
      </c>
      <c r="W95" s="50">
        <f t="shared" si="16"/>
        <v>0</v>
      </c>
      <c r="X95" s="50">
        <f t="shared" si="16"/>
        <v>513</v>
      </c>
      <c r="Y95" s="50">
        <f t="shared" si="16"/>
        <v>0</v>
      </c>
      <c r="Z95" s="50">
        <f t="shared" si="16"/>
        <v>0</v>
      </c>
      <c r="AA95" s="50">
        <f t="shared" si="16"/>
        <v>17448</v>
      </c>
      <c r="AB95" s="50">
        <f t="shared" si="16"/>
        <v>0</v>
      </c>
      <c r="AC95" s="50">
        <f t="shared" si="16"/>
        <v>0</v>
      </c>
      <c r="AD95" s="50">
        <f t="shared" si="16"/>
        <v>0</v>
      </c>
      <c r="AE95" s="50">
        <f t="shared" si="16"/>
        <v>0</v>
      </c>
      <c r="AF95" s="50">
        <f t="shared" si="16"/>
        <v>0</v>
      </c>
      <c r="AG95" s="50">
        <f t="shared" si="16"/>
        <v>494</v>
      </c>
      <c r="AH95" s="50">
        <f t="shared" si="16"/>
        <v>0</v>
      </c>
      <c r="AI95" s="50">
        <f t="shared" si="16"/>
        <v>0</v>
      </c>
      <c r="AJ95" s="50">
        <f t="shared" si="16"/>
        <v>0</v>
      </c>
      <c r="AK95" s="50">
        <f t="shared" si="16"/>
        <v>0</v>
      </c>
      <c r="AL95" s="50">
        <f t="shared" si="16"/>
        <v>306</v>
      </c>
      <c r="AM95" s="50">
        <f t="shared" si="16"/>
        <v>0</v>
      </c>
      <c r="AN95" s="50">
        <f t="shared" si="16"/>
        <v>12933</v>
      </c>
      <c r="AO95" s="50">
        <f>SUM(AO96:AO107)</f>
        <v>0</v>
      </c>
      <c r="AP95" s="50">
        <f t="shared" si="16"/>
        <v>0</v>
      </c>
      <c r="AQ95" s="50">
        <f t="shared" si="16"/>
        <v>0</v>
      </c>
      <c r="AR95" s="50">
        <f t="shared" si="16"/>
        <v>0</v>
      </c>
      <c r="AS95" s="50">
        <f>SUM(AS96:AS107)</f>
        <v>0</v>
      </c>
      <c r="AT95" s="50">
        <f>SUM(AT96:AT107)</f>
        <v>0</v>
      </c>
      <c r="AU95" s="50">
        <f>SUM(AU96:AU107)</f>
        <v>0</v>
      </c>
      <c r="AV95" s="50">
        <f t="shared" si="16"/>
        <v>0</v>
      </c>
      <c r="AW95" s="50">
        <f t="shared" si="16"/>
        <v>0</v>
      </c>
      <c r="AX95" s="50">
        <f t="shared" si="16"/>
        <v>0</v>
      </c>
      <c r="AY95" s="127">
        <v>128642.51</v>
      </c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2:51" ht="13.5" thickTop="1">
      <c r="B96" s="115">
        <v>8</v>
      </c>
      <c r="C96" s="30" t="s">
        <v>68</v>
      </c>
      <c r="D96" s="31"/>
      <c r="E96" s="89" t="s">
        <v>92</v>
      </c>
      <c r="F96" s="78"/>
      <c r="G96" s="9" t="s">
        <v>3</v>
      </c>
      <c r="H96" s="41">
        <v>9150.86</v>
      </c>
      <c r="I96" s="19">
        <v>7811.43</v>
      </c>
      <c r="J96" s="19"/>
      <c r="K96" s="41">
        <v>13815.65</v>
      </c>
      <c r="L96" s="41">
        <v>18572</v>
      </c>
      <c r="M96" s="41">
        <v>5654.2</v>
      </c>
      <c r="N96" s="41">
        <f aca="true" t="shared" si="17" ref="N96:N107">I96*0.05</f>
        <v>390.5715</v>
      </c>
      <c r="O96" s="68">
        <f t="shared" si="11"/>
        <v>1190</v>
      </c>
      <c r="P96" s="107" t="s">
        <v>183</v>
      </c>
      <c r="Q96" s="39"/>
      <c r="R96" s="39">
        <v>1190</v>
      </c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131"/>
    </row>
    <row r="97" spans="2:51" ht="12.75">
      <c r="B97" s="115">
        <v>8</v>
      </c>
      <c r="C97" s="37"/>
      <c r="D97" s="33"/>
      <c r="E97" s="184" t="s">
        <v>137</v>
      </c>
      <c r="F97" s="79"/>
      <c r="G97" s="8" t="s">
        <v>4</v>
      </c>
      <c r="H97" s="42">
        <v>9149.59</v>
      </c>
      <c r="I97" s="20">
        <v>8628.02</v>
      </c>
      <c r="J97" s="20"/>
      <c r="K97" s="42"/>
      <c r="L97" s="42"/>
      <c r="M97" s="42"/>
      <c r="N97" s="41">
        <f t="shared" si="17"/>
        <v>431.40100000000007</v>
      </c>
      <c r="O97" s="68">
        <f t="shared" si="11"/>
        <v>0</v>
      </c>
      <c r="P97" s="174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57"/>
    </row>
    <row r="98" spans="2:51" ht="12.75">
      <c r="B98" s="115">
        <v>8</v>
      </c>
      <c r="C98" s="37"/>
      <c r="D98" s="33"/>
      <c r="E98" s="90" t="s">
        <v>94</v>
      </c>
      <c r="F98" s="79"/>
      <c r="G98" s="8" t="s">
        <v>5</v>
      </c>
      <c r="H98" s="42">
        <v>9149.59</v>
      </c>
      <c r="I98" s="20">
        <v>7668.42</v>
      </c>
      <c r="J98" s="20"/>
      <c r="K98" s="42"/>
      <c r="L98" s="42"/>
      <c r="M98" s="42"/>
      <c r="N98" s="41">
        <f t="shared" si="17"/>
        <v>383.42100000000005</v>
      </c>
      <c r="O98" s="68">
        <f t="shared" si="11"/>
        <v>0</v>
      </c>
      <c r="P98" s="174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57"/>
    </row>
    <row r="99" spans="2:51" ht="12.75">
      <c r="B99" s="115">
        <v>8</v>
      </c>
      <c r="C99" s="37"/>
      <c r="D99" s="33"/>
      <c r="E99" s="90"/>
      <c r="F99" s="79"/>
      <c r="G99" s="8" t="s">
        <v>6</v>
      </c>
      <c r="H99" s="42">
        <v>9149.59</v>
      </c>
      <c r="I99" s="20">
        <v>7622.85</v>
      </c>
      <c r="J99" s="20"/>
      <c r="K99" s="42"/>
      <c r="L99" s="42"/>
      <c r="M99" s="42"/>
      <c r="N99" s="41">
        <f t="shared" si="17"/>
        <v>381.14250000000004</v>
      </c>
      <c r="O99" s="68">
        <f t="shared" si="11"/>
        <v>2016</v>
      </c>
      <c r="P99" s="98"/>
      <c r="Q99" s="48">
        <v>2016</v>
      </c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57"/>
    </row>
    <row r="100" spans="2:51" ht="12.75">
      <c r="B100" s="115">
        <v>8</v>
      </c>
      <c r="C100" s="37"/>
      <c r="D100" s="33"/>
      <c r="E100" s="90"/>
      <c r="F100" s="79"/>
      <c r="G100" s="8" t="s">
        <v>7</v>
      </c>
      <c r="H100" s="42">
        <v>9149.59</v>
      </c>
      <c r="I100" s="20">
        <v>9115.51</v>
      </c>
      <c r="J100" s="20"/>
      <c r="K100" s="42"/>
      <c r="L100" s="42"/>
      <c r="M100" s="42"/>
      <c r="N100" s="41">
        <f t="shared" si="17"/>
        <v>455.7755</v>
      </c>
      <c r="O100" s="68">
        <f t="shared" si="11"/>
        <v>0</v>
      </c>
      <c r="P100" s="176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57"/>
    </row>
    <row r="101" spans="2:51" ht="12.75">
      <c r="B101" s="115">
        <v>8</v>
      </c>
      <c r="C101" s="37"/>
      <c r="D101" s="33"/>
      <c r="E101" s="90"/>
      <c r="F101" s="79"/>
      <c r="G101" s="8" t="s">
        <v>8</v>
      </c>
      <c r="H101" s="42">
        <v>9149.33</v>
      </c>
      <c r="I101" s="20">
        <v>8812.74</v>
      </c>
      <c r="J101" s="20"/>
      <c r="K101" s="42"/>
      <c r="L101" s="42"/>
      <c r="M101" s="42"/>
      <c r="N101" s="41">
        <f t="shared" si="17"/>
        <v>440.637</v>
      </c>
      <c r="O101" s="68">
        <f t="shared" si="11"/>
        <v>0</v>
      </c>
      <c r="P101" s="9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57"/>
    </row>
    <row r="102" spans="2:51" ht="12.75">
      <c r="B102" s="115">
        <v>8</v>
      </c>
      <c r="C102" s="37"/>
      <c r="D102" s="33"/>
      <c r="E102" s="90"/>
      <c r="F102" s="79"/>
      <c r="G102" s="8" t="s">
        <v>9</v>
      </c>
      <c r="H102" s="42">
        <v>10266.15</v>
      </c>
      <c r="I102" s="20">
        <v>10449.27</v>
      </c>
      <c r="J102" s="20"/>
      <c r="K102" s="42"/>
      <c r="L102" s="42"/>
      <c r="M102" s="42"/>
      <c r="N102" s="41">
        <f t="shared" si="17"/>
        <v>522.4635000000001</v>
      </c>
      <c r="O102" s="68">
        <f t="shared" si="11"/>
        <v>0</v>
      </c>
      <c r="P102" s="176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57"/>
    </row>
    <row r="103" spans="2:51" ht="12.75">
      <c r="B103" s="115">
        <v>8</v>
      </c>
      <c r="C103" s="37"/>
      <c r="D103" s="33"/>
      <c r="E103" s="90"/>
      <c r="F103" s="79"/>
      <c r="G103" s="8" t="s">
        <v>10</v>
      </c>
      <c r="H103" s="42">
        <v>10266.15</v>
      </c>
      <c r="I103" s="20">
        <v>12061.61</v>
      </c>
      <c r="J103" s="20"/>
      <c r="K103" s="42"/>
      <c r="L103" s="42"/>
      <c r="M103" s="42"/>
      <c r="N103" s="41">
        <f t="shared" si="17"/>
        <v>603.0805</v>
      </c>
      <c r="O103" s="68">
        <f t="shared" si="11"/>
        <v>0</v>
      </c>
      <c r="P103" s="176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57"/>
    </row>
    <row r="104" spans="2:51" ht="12.75">
      <c r="B104" s="115">
        <v>8</v>
      </c>
      <c r="C104" s="37"/>
      <c r="D104" s="33"/>
      <c r="E104" s="90"/>
      <c r="F104" s="79"/>
      <c r="G104" s="8" t="s">
        <v>11</v>
      </c>
      <c r="H104" s="42">
        <v>10266.15</v>
      </c>
      <c r="I104" s="20">
        <v>7793.68</v>
      </c>
      <c r="J104" s="20"/>
      <c r="K104" s="42"/>
      <c r="L104" s="42"/>
      <c r="M104" s="42"/>
      <c r="N104" s="41">
        <f t="shared" si="17"/>
        <v>389.684</v>
      </c>
      <c r="O104" s="68">
        <f t="shared" si="11"/>
        <v>8345</v>
      </c>
      <c r="P104" s="98" t="s">
        <v>317</v>
      </c>
      <c r="Q104" s="48">
        <v>951</v>
      </c>
      <c r="R104" s="48"/>
      <c r="S104" s="48">
        <v>7394</v>
      </c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57"/>
    </row>
    <row r="105" spans="2:51" ht="12.75">
      <c r="B105" s="115">
        <v>8</v>
      </c>
      <c r="C105" s="37"/>
      <c r="D105" s="33"/>
      <c r="E105" s="90"/>
      <c r="F105" s="79"/>
      <c r="G105" s="8" t="s">
        <v>12</v>
      </c>
      <c r="H105" s="42">
        <v>27481.9</v>
      </c>
      <c r="I105" s="20">
        <v>12242.14</v>
      </c>
      <c r="J105" s="20"/>
      <c r="K105" s="42"/>
      <c r="L105" s="42"/>
      <c r="M105" s="42"/>
      <c r="N105" s="41">
        <f t="shared" si="17"/>
        <v>612.107</v>
      </c>
      <c r="O105" s="68">
        <f t="shared" si="11"/>
        <v>14811</v>
      </c>
      <c r="P105" s="94" t="s">
        <v>331</v>
      </c>
      <c r="Q105" s="48">
        <v>1365</v>
      </c>
      <c r="R105" s="48"/>
      <c r="S105" s="48"/>
      <c r="T105" s="48"/>
      <c r="U105" s="48"/>
      <c r="V105" s="48"/>
      <c r="W105" s="48"/>
      <c r="X105" s="48">
        <v>513</v>
      </c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>
        <v>12933</v>
      </c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57"/>
    </row>
    <row r="106" spans="2:51" ht="12.75">
      <c r="B106" s="115">
        <v>8</v>
      </c>
      <c r="C106" s="37"/>
      <c r="D106" s="33"/>
      <c r="E106" s="90"/>
      <c r="F106" s="79"/>
      <c r="G106" s="8" t="s">
        <v>13</v>
      </c>
      <c r="H106" s="42">
        <v>18947.05</v>
      </c>
      <c r="I106" s="20">
        <v>22552.65</v>
      </c>
      <c r="J106" s="20"/>
      <c r="K106" s="42"/>
      <c r="L106" s="42"/>
      <c r="M106" s="42"/>
      <c r="N106" s="41">
        <f t="shared" si="17"/>
        <v>1127.6325000000002</v>
      </c>
      <c r="O106" s="68">
        <f t="shared" si="11"/>
        <v>306</v>
      </c>
      <c r="P106" s="98" t="s">
        <v>346</v>
      </c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>
        <v>306</v>
      </c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57"/>
    </row>
    <row r="107" spans="2:51" ht="13.5" thickBot="1">
      <c r="B107" s="117">
        <v>8</v>
      </c>
      <c r="C107" s="38"/>
      <c r="D107" s="35"/>
      <c r="E107" s="142"/>
      <c r="F107" s="80"/>
      <c r="G107" s="12" t="s">
        <v>14</v>
      </c>
      <c r="H107" s="43">
        <v>18947.05</v>
      </c>
      <c r="I107" s="21">
        <v>26995.98</v>
      </c>
      <c r="J107" s="66"/>
      <c r="K107" s="43"/>
      <c r="L107" s="43"/>
      <c r="M107" s="43"/>
      <c r="N107" s="41">
        <f t="shared" si="17"/>
        <v>1349.799</v>
      </c>
      <c r="O107" s="68">
        <f t="shared" si="11"/>
        <v>20605</v>
      </c>
      <c r="P107" s="108" t="s">
        <v>360</v>
      </c>
      <c r="Q107" s="49"/>
      <c r="R107" s="49"/>
      <c r="S107" s="49"/>
      <c r="T107" s="49">
        <v>2663</v>
      </c>
      <c r="U107" s="49"/>
      <c r="V107" s="49"/>
      <c r="W107" s="49"/>
      <c r="X107" s="49"/>
      <c r="Y107" s="49"/>
      <c r="Z107" s="49"/>
      <c r="AA107" s="49">
        <f>1100+16348</f>
        <v>17448</v>
      </c>
      <c r="AB107" s="49"/>
      <c r="AC107" s="49"/>
      <c r="AD107" s="49"/>
      <c r="AE107" s="49"/>
      <c r="AF107" s="49"/>
      <c r="AG107" s="49">
        <v>494</v>
      </c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128">
        <f>AY95+(I95-K95-L95-M95-N95)+J95-O95</f>
        <v>177994.24500000002</v>
      </c>
    </row>
    <row r="108" spans="2:64" s="4" customFormat="1" ht="14.25" thickBot="1" thickTop="1">
      <c r="B108" s="118">
        <v>9</v>
      </c>
      <c r="C108" s="28" t="s">
        <v>19</v>
      </c>
      <c r="D108" s="29">
        <v>56</v>
      </c>
      <c r="E108" s="141" t="s">
        <v>45</v>
      </c>
      <c r="F108" s="77">
        <v>2547.6</v>
      </c>
      <c r="G108" s="50"/>
      <c r="H108" s="69">
        <v>8617.89</v>
      </c>
      <c r="I108" s="70">
        <v>6009.9</v>
      </c>
      <c r="J108" s="70">
        <f>SUM(J109:J120)</f>
        <v>0</v>
      </c>
      <c r="K108" s="69">
        <f>SUM(K109:K120)</f>
        <v>9358.73</v>
      </c>
      <c r="L108" s="69">
        <f>SUM(L109:L120)</f>
        <v>9192.77</v>
      </c>
      <c r="M108" s="69">
        <f>SUM(M109:M120)</f>
        <v>199.81</v>
      </c>
      <c r="N108" s="69">
        <f>SUM(N109:N120)</f>
        <v>300.495</v>
      </c>
      <c r="O108" s="69">
        <f t="shared" si="11"/>
        <v>223033</v>
      </c>
      <c r="P108" s="99"/>
      <c r="Q108" s="11">
        <f aca="true" t="shared" si="18" ref="Q108:AX108">SUM(Q109:Q120)</f>
        <v>0</v>
      </c>
      <c r="R108" s="11">
        <f t="shared" si="18"/>
        <v>605</v>
      </c>
      <c r="S108" s="11">
        <f t="shared" si="18"/>
        <v>143</v>
      </c>
      <c r="T108" s="11">
        <f t="shared" si="18"/>
        <v>0</v>
      </c>
      <c r="U108" s="11">
        <f t="shared" si="18"/>
        <v>0</v>
      </c>
      <c r="V108" s="11">
        <f t="shared" si="18"/>
        <v>187</v>
      </c>
      <c r="W108" s="11">
        <f t="shared" si="18"/>
        <v>102611</v>
      </c>
      <c r="X108" s="11">
        <f t="shared" si="18"/>
        <v>0</v>
      </c>
      <c r="Y108" s="11">
        <f t="shared" si="18"/>
        <v>0</v>
      </c>
      <c r="Z108" s="11">
        <f t="shared" si="18"/>
        <v>0</v>
      </c>
      <c r="AA108" s="11">
        <f t="shared" si="18"/>
        <v>0</v>
      </c>
      <c r="AB108" s="11">
        <f t="shared" si="18"/>
        <v>0</v>
      </c>
      <c r="AC108" s="11">
        <f t="shared" si="18"/>
        <v>0</v>
      </c>
      <c r="AD108" s="11">
        <f t="shared" si="18"/>
        <v>5098</v>
      </c>
      <c r="AE108" s="11">
        <f t="shared" si="18"/>
        <v>0</v>
      </c>
      <c r="AF108" s="11">
        <f t="shared" si="18"/>
        <v>0</v>
      </c>
      <c r="AG108" s="11">
        <f t="shared" si="18"/>
        <v>144</v>
      </c>
      <c r="AH108" s="11">
        <f t="shared" si="18"/>
        <v>113370</v>
      </c>
      <c r="AI108" s="11">
        <f t="shared" si="18"/>
        <v>875</v>
      </c>
      <c r="AJ108" s="11">
        <f t="shared" si="18"/>
        <v>0</v>
      </c>
      <c r="AK108" s="11">
        <f t="shared" si="18"/>
        <v>0</v>
      </c>
      <c r="AL108" s="11">
        <f t="shared" si="18"/>
        <v>0</v>
      </c>
      <c r="AM108" s="11">
        <f t="shared" si="18"/>
        <v>0</v>
      </c>
      <c r="AN108" s="11">
        <f t="shared" si="18"/>
        <v>0</v>
      </c>
      <c r="AO108" s="11">
        <f>SUM(AO109:AO120)</f>
        <v>0</v>
      </c>
      <c r="AP108" s="11">
        <f t="shared" si="18"/>
        <v>0</v>
      </c>
      <c r="AQ108" s="11">
        <f t="shared" si="18"/>
        <v>0</v>
      </c>
      <c r="AR108" s="11">
        <f t="shared" si="18"/>
        <v>0</v>
      </c>
      <c r="AS108" s="11">
        <f>SUM(AS109:AS120)</f>
        <v>0</v>
      </c>
      <c r="AT108" s="11">
        <f>SUM(AT109:AT120)</f>
        <v>0</v>
      </c>
      <c r="AU108" s="11">
        <f>SUM(AU109:AU120)</f>
        <v>0</v>
      </c>
      <c r="AV108" s="11">
        <f t="shared" si="18"/>
        <v>0</v>
      </c>
      <c r="AW108" s="11">
        <f t="shared" si="18"/>
        <v>0</v>
      </c>
      <c r="AX108" s="11">
        <f t="shared" si="18"/>
        <v>0</v>
      </c>
      <c r="AY108" s="127">
        <v>10260.09</v>
      </c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2:51" ht="13.5" thickTop="1">
      <c r="B109" s="119">
        <v>9</v>
      </c>
      <c r="C109" s="30" t="s">
        <v>68</v>
      </c>
      <c r="D109" s="31"/>
      <c r="E109" s="89" t="s">
        <v>95</v>
      </c>
      <c r="F109" s="78"/>
      <c r="G109" s="9" t="s">
        <v>3</v>
      </c>
      <c r="H109" s="41">
        <v>0</v>
      </c>
      <c r="I109" s="19">
        <v>0</v>
      </c>
      <c r="J109" s="19">
        <f>'[1]Учет по КР '!G31</f>
        <v>0</v>
      </c>
      <c r="K109" s="41">
        <v>9358.73</v>
      </c>
      <c r="L109" s="41">
        <v>9192.77</v>
      </c>
      <c r="M109" s="41">
        <v>199.81</v>
      </c>
      <c r="N109" s="41">
        <f aca="true" t="shared" si="19" ref="N109:N120">I109*0.05</f>
        <v>0</v>
      </c>
      <c r="O109" s="68">
        <f t="shared" si="11"/>
        <v>216714</v>
      </c>
      <c r="P109" s="105" t="s">
        <v>181</v>
      </c>
      <c r="Q109" s="39"/>
      <c r="R109" s="39"/>
      <c r="S109" s="39"/>
      <c r="T109" s="39"/>
      <c r="U109" s="39"/>
      <c r="V109" s="39"/>
      <c r="W109" s="39">
        <v>103200</v>
      </c>
      <c r="X109" s="39"/>
      <c r="Y109" s="39"/>
      <c r="Z109" s="39"/>
      <c r="AA109" s="39"/>
      <c r="AB109" s="39"/>
      <c r="AC109" s="39"/>
      <c r="AD109" s="39"/>
      <c r="AE109" s="39"/>
      <c r="AF109" s="39"/>
      <c r="AG109" s="39">
        <v>144</v>
      </c>
      <c r="AH109" s="39">
        <v>113370</v>
      </c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131"/>
    </row>
    <row r="110" spans="2:51" ht="12.75">
      <c r="B110" s="120">
        <v>9</v>
      </c>
      <c r="C110" s="169" t="s">
        <v>77</v>
      </c>
      <c r="D110" s="33"/>
      <c r="E110" s="184" t="s">
        <v>124</v>
      </c>
      <c r="F110" s="79"/>
      <c r="G110" s="8" t="s">
        <v>4</v>
      </c>
      <c r="H110" s="42">
        <v>80.01</v>
      </c>
      <c r="I110" s="20">
        <v>0</v>
      </c>
      <c r="J110" s="19">
        <f>'[1]Учет по КР '!G32</f>
        <v>0</v>
      </c>
      <c r="K110" s="42"/>
      <c r="L110" s="42"/>
      <c r="M110" s="42"/>
      <c r="N110" s="41">
        <f t="shared" si="19"/>
        <v>0</v>
      </c>
      <c r="O110" s="68">
        <f t="shared" si="11"/>
        <v>-28982</v>
      </c>
      <c r="P110" s="98"/>
      <c r="Q110" s="48"/>
      <c r="R110" s="48">
        <v>605</v>
      </c>
      <c r="S110" s="48"/>
      <c r="T110" s="48"/>
      <c r="U110" s="48"/>
      <c r="V110" s="48"/>
      <c r="W110" s="48">
        <v>-29587</v>
      </c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57"/>
    </row>
    <row r="111" spans="2:51" ht="12.75">
      <c r="B111" s="120">
        <v>9</v>
      </c>
      <c r="C111" s="37"/>
      <c r="D111" s="33"/>
      <c r="E111" s="90" t="s">
        <v>122</v>
      </c>
      <c r="F111" s="79"/>
      <c r="G111" s="8" t="s">
        <v>5</v>
      </c>
      <c r="H111" s="42">
        <v>80.01</v>
      </c>
      <c r="I111" s="20">
        <v>81.87</v>
      </c>
      <c r="J111" s="19">
        <f>'[1]Учет по КР '!G33</f>
        <v>0</v>
      </c>
      <c r="K111" s="42"/>
      <c r="L111" s="42"/>
      <c r="M111" s="42"/>
      <c r="N111" s="41">
        <f t="shared" si="19"/>
        <v>4.093500000000001</v>
      </c>
      <c r="O111" s="68">
        <f t="shared" si="11"/>
        <v>0</v>
      </c>
      <c r="P111" s="95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57"/>
    </row>
    <row r="112" spans="2:51" ht="12.75">
      <c r="B112" s="120">
        <v>9</v>
      </c>
      <c r="C112" s="37"/>
      <c r="D112" s="33"/>
      <c r="E112" s="170" t="s">
        <v>78</v>
      </c>
      <c r="F112" s="79"/>
      <c r="G112" s="8" t="s">
        <v>6</v>
      </c>
      <c r="H112" s="42">
        <v>80.01</v>
      </c>
      <c r="I112" s="20">
        <v>0</v>
      </c>
      <c r="J112" s="19">
        <f>'[1]Учет по КР '!G34</f>
        <v>0</v>
      </c>
      <c r="K112" s="42"/>
      <c r="L112" s="42"/>
      <c r="M112" s="42"/>
      <c r="N112" s="41">
        <f t="shared" si="19"/>
        <v>0</v>
      </c>
      <c r="O112" s="68">
        <f t="shared" si="11"/>
        <v>0</v>
      </c>
      <c r="P112" s="9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57"/>
    </row>
    <row r="113" spans="2:51" ht="12.75">
      <c r="B113" s="120">
        <v>9</v>
      </c>
      <c r="C113" s="37"/>
      <c r="D113" s="33"/>
      <c r="E113" s="170" t="s">
        <v>78</v>
      </c>
      <c r="F113" s="79"/>
      <c r="G113" s="8" t="s">
        <v>7</v>
      </c>
      <c r="H113" s="42">
        <v>80.01</v>
      </c>
      <c r="I113" s="20">
        <v>0</v>
      </c>
      <c r="J113" s="19">
        <f>'[1]Учет по КР '!G35</f>
        <v>0</v>
      </c>
      <c r="K113" s="42"/>
      <c r="L113" s="42"/>
      <c r="M113" s="42"/>
      <c r="N113" s="41">
        <f t="shared" si="19"/>
        <v>0</v>
      </c>
      <c r="O113" s="68">
        <f t="shared" si="11"/>
        <v>0</v>
      </c>
      <c r="P113" s="9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57"/>
    </row>
    <row r="114" spans="2:51" ht="12.75">
      <c r="B114" s="120">
        <v>9</v>
      </c>
      <c r="C114" s="37"/>
      <c r="D114" s="33"/>
      <c r="E114" s="170" t="s">
        <v>78</v>
      </c>
      <c r="F114" s="79"/>
      <c r="G114" s="8" t="s">
        <v>8</v>
      </c>
      <c r="H114" s="42">
        <v>80.01</v>
      </c>
      <c r="I114" s="20">
        <v>238.17</v>
      </c>
      <c r="J114" s="19">
        <f>'[1]Учет по КР '!G36</f>
        <v>0</v>
      </c>
      <c r="K114" s="42"/>
      <c r="L114" s="42"/>
      <c r="M114" s="42"/>
      <c r="N114" s="41">
        <f t="shared" si="19"/>
        <v>11.9085</v>
      </c>
      <c r="O114" s="68">
        <f t="shared" si="11"/>
        <v>0</v>
      </c>
      <c r="P114" s="94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57"/>
    </row>
    <row r="115" spans="2:51" ht="12.75">
      <c r="B115" s="120">
        <v>9</v>
      </c>
      <c r="C115" s="37"/>
      <c r="D115" s="33"/>
      <c r="E115" s="170" t="s">
        <v>78</v>
      </c>
      <c r="F115" s="79"/>
      <c r="G115" s="8" t="s">
        <v>9</v>
      </c>
      <c r="H115" s="42">
        <v>89.78</v>
      </c>
      <c r="I115" s="20">
        <v>80.01</v>
      </c>
      <c r="J115" s="19">
        <f>'[1]Учет по КР '!G37</f>
        <v>0</v>
      </c>
      <c r="K115" s="42"/>
      <c r="L115" s="42"/>
      <c r="M115" s="42"/>
      <c r="N115" s="41">
        <f t="shared" si="19"/>
        <v>4.000500000000001</v>
      </c>
      <c r="O115" s="68">
        <f t="shared" si="11"/>
        <v>875</v>
      </c>
      <c r="P115" s="94" t="s">
        <v>270</v>
      </c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>
        <v>875</v>
      </c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57"/>
    </row>
    <row r="116" spans="2:51" ht="12.75">
      <c r="B116" s="120">
        <v>9</v>
      </c>
      <c r="C116" s="37"/>
      <c r="D116" s="33"/>
      <c r="E116" s="170" t="s">
        <v>78</v>
      </c>
      <c r="F116" s="79"/>
      <c r="G116" s="8" t="s">
        <v>10</v>
      </c>
      <c r="H116" s="42">
        <v>23.1</v>
      </c>
      <c r="I116" s="20">
        <v>0</v>
      </c>
      <c r="J116" s="19">
        <f>'[1]Учет по КР '!G38</f>
        <v>0</v>
      </c>
      <c r="K116" s="42"/>
      <c r="L116" s="42"/>
      <c r="M116" s="42"/>
      <c r="N116" s="41">
        <f t="shared" si="19"/>
        <v>0</v>
      </c>
      <c r="O116" s="68">
        <f t="shared" si="11"/>
        <v>0</v>
      </c>
      <c r="P116" s="94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57"/>
    </row>
    <row r="117" spans="2:51" ht="12.75">
      <c r="B117" s="120">
        <v>9</v>
      </c>
      <c r="C117" s="37"/>
      <c r="D117" s="33"/>
      <c r="E117" s="170" t="s">
        <v>78</v>
      </c>
      <c r="F117" s="79"/>
      <c r="G117" s="8" t="s">
        <v>11</v>
      </c>
      <c r="H117" s="42">
        <v>89.78</v>
      </c>
      <c r="I117" s="20">
        <v>110.15</v>
      </c>
      <c r="J117" s="19">
        <f>'[1]Учет по КР '!G39</f>
        <v>0</v>
      </c>
      <c r="K117" s="42"/>
      <c r="L117" s="42"/>
      <c r="M117" s="42"/>
      <c r="N117" s="41">
        <f t="shared" si="19"/>
        <v>5.5075</v>
      </c>
      <c r="O117" s="68">
        <f t="shared" si="11"/>
        <v>34283</v>
      </c>
      <c r="P117" s="98"/>
      <c r="Q117" s="48"/>
      <c r="R117" s="48"/>
      <c r="S117" s="48"/>
      <c r="T117" s="48"/>
      <c r="U117" s="48"/>
      <c r="V117" s="48">
        <v>187</v>
      </c>
      <c r="W117" s="48">
        <v>28998</v>
      </c>
      <c r="X117" s="48"/>
      <c r="Y117" s="48"/>
      <c r="Z117" s="48"/>
      <c r="AA117" s="48"/>
      <c r="AB117" s="48"/>
      <c r="AC117" s="48"/>
      <c r="AD117" s="48">
        <v>5098</v>
      </c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57"/>
    </row>
    <row r="118" spans="2:51" ht="12.75">
      <c r="B118" s="120">
        <v>9</v>
      </c>
      <c r="C118" s="37"/>
      <c r="D118" s="33"/>
      <c r="E118" s="170" t="s">
        <v>78</v>
      </c>
      <c r="F118" s="79"/>
      <c r="G118" s="8" t="s">
        <v>12</v>
      </c>
      <c r="H118" s="42">
        <v>3962.7</v>
      </c>
      <c r="I118" s="20">
        <v>1134.69</v>
      </c>
      <c r="J118" s="19">
        <f>'[1]Учет по КР '!G40</f>
        <v>0</v>
      </c>
      <c r="K118" s="42"/>
      <c r="L118" s="42"/>
      <c r="M118" s="42"/>
      <c r="N118" s="41">
        <f t="shared" si="19"/>
        <v>56.734500000000004</v>
      </c>
      <c r="O118" s="68">
        <f t="shared" si="11"/>
        <v>0</v>
      </c>
      <c r="P118" s="9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57"/>
    </row>
    <row r="119" spans="2:51" ht="12.75">
      <c r="B119" s="120">
        <v>9</v>
      </c>
      <c r="C119" s="37"/>
      <c r="D119" s="33"/>
      <c r="E119" s="170" t="s">
        <v>78</v>
      </c>
      <c r="F119" s="79"/>
      <c r="G119" s="8" t="s">
        <v>13</v>
      </c>
      <c r="H119" s="42">
        <v>2026.24</v>
      </c>
      <c r="I119" s="20">
        <v>2324.74</v>
      </c>
      <c r="J119" s="19">
        <f>'[1]Учет по КР '!G41</f>
        <v>0</v>
      </c>
      <c r="K119" s="42"/>
      <c r="L119" s="42"/>
      <c r="M119" s="42"/>
      <c r="N119" s="41">
        <f t="shared" si="19"/>
        <v>116.237</v>
      </c>
      <c r="O119" s="68">
        <f t="shared" si="11"/>
        <v>0</v>
      </c>
      <c r="P119" s="9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57"/>
    </row>
    <row r="120" spans="2:51" ht="13.5" thickBot="1">
      <c r="B120" s="121">
        <v>9</v>
      </c>
      <c r="C120" s="38"/>
      <c r="D120" s="35"/>
      <c r="E120" s="171" t="s">
        <v>78</v>
      </c>
      <c r="F120" s="80"/>
      <c r="G120" s="12" t="s">
        <v>14</v>
      </c>
      <c r="H120" s="43">
        <v>2026.24</v>
      </c>
      <c r="I120" s="21">
        <v>2040.27</v>
      </c>
      <c r="J120" s="19">
        <f>'[1]Учет по КР '!G42</f>
        <v>0</v>
      </c>
      <c r="K120" s="43"/>
      <c r="L120" s="43"/>
      <c r="M120" s="43"/>
      <c r="N120" s="41">
        <f t="shared" si="19"/>
        <v>102.01350000000001</v>
      </c>
      <c r="O120" s="68">
        <f t="shared" si="11"/>
        <v>143</v>
      </c>
      <c r="P120" s="108"/>
      <c r="Q120" s="49"/>
      <c r="R120" s="49"/>
      <c r="S120" s="49">
        <v>143</v>
      </c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128">
        <f>AY108+(I108-K108-L108-M108-N108)+J108-O108</f>
        <v>-225814.815</v>
      </c>
    </row>
    <row r="121" spans="2:64" s="4" customFormat="1" ht="14.25" thickBot="1" thickTop="1">
      <c r="B121" s="118">
        <v>10</v>
      </c>
      <c r="C121" s="28" t="s">
        <v>19</v>
      </c>
      <c r="D121" s="29">
        <v>68</v>
      </c>
      <c r="E121" s="141" t="s">
        <v>45</v>
      </c>
      <c r="F121" s="77">
        <v>3132.1</v>
      </c>
      <c r="G121" s="50"/>
      <c r="H121" s="69">
        <v>129662.06000000001</v>
      </c>
      <c r="I121" s="70">
        <v>130437.56999999999</v>
      </c>
      <c r="J121" s="70">
        <f>SUM(J122:J133)</f>
        <v>0</v>
      </c>
      <c r="K121" s="69">
        <f>SUM(K122:K133)</f>
        <v>13268.55</v>
      </c>
      <c r="L121" s="69">
        <f>SUM(L122:L133)</f>
        <v>14562.92</v>
      </c>
      <c r="M121" s="69">
        <f>SUM(M122:M133)</f>
        <v>4687.06</v>
      </c>
      <c r="N121" s="69">
        <f>SUM(N122:N133)</f>
        <v>6521.8785</v>
      </c>
      <c r="O121" s="16">
        <f t="shared" si="11"/>
        <v>32149</v>
      </c>
      <c r="P121" s="99"/>
      <c r="Q121" s="11">
        <f aca="true" t="shared" si="20" ref="Q121:AX121">SUM(Q122:Q133)</f>
        <v>12248</v>
      </c>
      <c r="R121" s="11">
        <f t="shared" si="20"/>
        <v>1167</v>
      </c>
      <c r="S121" s="11">
        <f t="shared" si="20"/>
        <v>14388</v>
      </c>
      <c r="T121" s="11">
        <f t="shared" si="20"/>
        <v>0</v>
      </c>
      <c r="U121" s="11">
        <f t="shared" si="20"/>
        <v>0</v>
      </c>
      <c r="V121" s="11">
        <f t="shared" si="20"/>
        <v>0</v>
      </c>
      <c r="W121" s="11">
        <f t="shared" si="20"/>
        <v>0</v>
      </c>
      <c r="X121" s="11">
        <f t="shared" si="20"/>
        <v>1339</v>
      </c>
      <c r="Y121" s="11">
        <f t="shared" si="20"/>
        <v>267</v>
      </c>
      <c r="Z121" s="11">
        <f t="shared" si="20"/>
        <v>0</v>
      </c>
      <c r="AA121" s="11">
        <f t="shared" si="20"/>
        <v>0</v>
      </c>
      <c r="AB121" s="11">
        <f t="shared" si="20"/>
        <v>0</v>
      </c>
      <c r="AC121" s="11">
        <f t="shared" si="20"/>
        <v>0</v>
      </c>
      <c r="AD121" s="11">
        <f t="shared" si="20"/>
        <v>0</v>
      </c>
      <c r="AE121" s="11">
        <f t="shared" si="20"/>
        <v>0</v>
      </c>
      <c r="AF121" s="11">
        <f t="shared" si="20"/>
        <v>238</v>
      </c>
      <c r="AG121" s="11">
        <f t="shared" si="20"/>
        <v>0</v>
      </c>
      <c r="AH121" s="11">
        <f t="shared" si="20"/>
        <v>0</v>
      </c>
      <c r="AI121" s="11">
        <f t="shared" si="20"/>
        <v>0</v>
      </c>
      <c r="AJ121" s="11">
        <f t="shared" si="20"/>
        <v>0</v>
      </c>
      <c r="AK121" s="11">
        <f t="shared" si="20"/>
        <v>0</v>
      </c>
      <c r="AL121" s="11">
        <f t="shared" si="20"/>
        <v>0</v>
      </c>
      <c r="AM121" s="11">
        <f t="shared" si="20"/>
        <v>0</v>
      </c>
      <c r="AN121" s="11">
        <f t="shared" si="20"/>
        <v>2502</v>
      </c>
      <c r="AO121" s="11">
        <f>SUM(AO122:AO133)</f>
        <v>0</v>
      </c>
      <c r="AP121" s="11">
        <f t="shared" si="20"/>
        <v>0</v>
      </c>
      <c r="AQ121" s="11">
        <f t="shared" si="20"/>
        <v>0</v>
      </c>
      <c r="AR121" s="11">
        <f t="shared" si="20"/>
        <v>0</v>
      </c>
      <c r="AS121" s="11">
        <f t="shared" si="20"/>
        <v>0</v>
      </c>
      <c r="AT121" s="11">
        <f t="shared" si="20"/>
        <v>0</v>
      </c>
      <c r="AU121" s="11">
        <f t="shared" si="20"/>
        <v>0</v>
      </c>
      <c r="AV121" s="11">
        <f t="shared" si="20"/>
        <v>0</v>
      </c>
      <c r="AW121" s="11">
        <f t="shared" si="20"/>
        <v>0</v>
      </c>
      <c r="AX121" s="11">
        <f t="shared" si="20"/>
        <v>0</v>
      </c>
      <c r="AY121" s="127">
        <v>46061.47</v>
      </c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2:51" ht="13.5" thickTop="1">
      <c r="B122" s="119">
        <v>10</v>
      </c>
      <c r="C122" s="30" t="s">
        <v>68</v>
      </c>
      <c r="D122" s="31"/>
      <c r="E122" s="89" t="s">
        <v>92</v>
      </c>
      <c r="F122" s="78"/>
      <c r="G122" s="9" t="s">
        <v>3</v>
      </c>
      <c r="H122" s="41">
        <v>7840.72</v>
      </c>
      <c r="I122" s="19">
        <v>8181.09</v>
      </c>
      <c r="J122" s="19"/>
      <c r="K122" s="41">
        <v>13268.55</v>
      </c>
      <c r="L122" s="41">
        <v>14562.92</v>
      </c>
      <c r="M122" s="41">
        <v>4687.06</v>
      </c>
      <c r="N122" s="41">
        <f aca="true" t="shared" si="21" ref="N122:N133">I122*0.05</f>
        <v>409.0545</v>
      </c>
      <c r="O122" s="68">
        <f t="shared" si="11"/>
        <v>0</v>
      </c>
      <c r="P122" s="107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131"/>
    </row>
    <row r="123" spans="2:51" ht="12.75">
      <c r="B123" s="120">
        <v>10</v>
      </c>
      <c r="C123" s="37"/>
      <c r="D123" s="33"/>
      <c r="E123" s="184" t="s">
        <v>125</v>
      </c>
      <c r="F123" s="79"/>
      <c r="G123" s="8" t="s">
        <v>4</v>
      </c>
      <c r="H123" s="42">
        <v>7840.72</v>
      </c>
      <c r="I123" s="20">
        <v>6917.71</v>
      </c>
      <c r="J123" s="20"/>
      <c r="K123" s="42"/>
      <c r="L123" s="42"/>
      <c r="M123" s="42"/>
      <c r="N123" s="41">
        <f t="shared" si="21"/>
        <v>345.88550000000004</v>
      </c>
      <c r="O123" s="68">
        <f t="shared" si="11"/>
        <v>3898</v>
      </c>
      <c r="P123" s="98" t="s">
        <v>193</v>
      </c>
      <c r="Q123" s="48">
        <v>3293</v>
      </c>
      <c r="R123" s="48">
        <v>605</v>
      </c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57"/>
    </row>
    <row r="124" spans="2:51" ht="12.75">
      <c r="B124" s="120">
        <v>10</v>
      </c>
      <c r="C124" s="37"/>
      <c r="D124" s="33"/>
      <c r="E124" s="90" t="s">
        <v>123</v>
      </c>
      <c r="F124" s="79"/>
      <c r="G124" s="8" t="s">
        <v>5</v>
      </c>
      <c r="H124" s="42">
        <v>7840.72</v>
      </c>
      <c r="I124" s="20">
        <v>8087.24</v>
      </c>
      <c r="J124" s="20"/>
      <c r="K124" s="42"/>
      <c r="L124" s="42"/>
      <c r="M124" s="42"/>
      <c r="N124" s="41">
        <f t="shared" si="21"/>
        <v>404.362</v>
      </c>
      <c r="O124" s="68">
        <f t="shared" si="11"/>
        <v>0</v>
      </c>
      <c r="P124" s="173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57"/>
    </row>
    <row r="125" spans="2:51" ht="12.75">
      <c r="B125" s="120">
        <v>10</v>
      </c>
      <c r="C125" s="37"/>
      <c r="D125" s="33"/>
      <c r="E125" s="88"/>
      <c r="F125" s="79"/>
      <c r="G125" s="8" t="s">
        <v>6</v>
      </c>
      <c r="H125" s="42">
        <v>7340.72</v>
      </c>
      <c r="I125" s="20">
        <v>7369.93</v>
      </c>
      <c r="J125" s="20"/>
      <c r="K125" s="42"/>
      <c r="L125" s="42"/>
      <c r="M125" s="42"/>
      <c r="N125" s="41">
        <f t="shared" si="21"/>
        <v>368.4965</v>
      </c>
      <c r="O125" s="68">
        <f t="shared" si="11"/>
        <v>1339</v>
      </c>
      <c r="P125" s="173" t="s">
        <v>178</v>
      </c>
      <c r="Q125" s="48"/>
      <c r="R125" s="48"/>
      <c r="S125" s="48"/>
      <c r="T125" s="48"/>
      <c r="U125" s="48"/>
      <c r="V125" s="48"/>
      <c r="W125" s="48"/>
      <c r="X125" s="48">
        <v>1339</v>
      </c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57"/>
    </row>
    <row r="126" spans="2:51" ht="12.75">
      <c r="B126" s="120">
        <v>10</v>
      </c>
      <c r="C126" s="37"/>
      <c r="D126" s="33"/>
      <c r="E126" s="88"/>
      <c r="F126" s="79"/>
      <c r="G126" s="8" t="s">
        <v>7</v>
      </c>
      <c r="H126" s="42">
        <v>7340.72</v>
      </c>
      <c r="I126" s="20">
        <v>6254.5</v>
      </c>
      <c r="J126" s="20"/>
      <c r="K126" s="42"/>
      <c r="L126" s="42"/>
      <c r="M126" s="42"/>
      <c r="N126" s="41">
        <f t="shared" si="21"/>
        <v>312.725</v>
      </c>
      <c r="O126" s="68">
        <f t="shared" si="11"/>
        <v>8158</v>
      </c>
      <c r="P126" s="94" t="s">
        <v>256</v>
      </c>
      <c r="Q126" s="48">
        <v>523</v>
      </c>
      <c r="R126" s="48"/>
      <c r="S126" s="48">
        <v>7635</v>
      </c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57"/>
    </row>
    <row r="127" spans="2:51" ht="12.75">
      <c r="B127" s="120">
        <v>10</v>
      </c>
      <c r="C127" s="37"/>
      <c r="D127" s="33"/>
      <c r="E127" s="88"/>
      <c r="F127" s="79"/>
      <c r="G127" s="8" t="s">
        <v>8</v>
      </c>
      <c r="H127" s="42">
        <v>7883.65</v>
      </c>
      <c r="I127" s="20">
        <v>8970.12</v>
      </c>
      <c r="J127" s="20"/>
      <c r="K127" s="42"/>
      <c r="L127" s="42"/>
      <c r="M127" s="42"/>
      <c r="N127" s="41">
        <f t="shared" si="21"/>
        <v>448.5060000000001</v>
      </c>
      <c r="O127" s="68">
        <f t="shared" si="11"/>
        <v>562</v>
      </c>
      <c r="P127" s="95" t="s">
        <v>272</v>
      </c>
      <c r="Q127" s="48"/>
      <c r="R127" s="48">
        <v>562</v>
      </c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57"/>
    </row>
    <row r="128" spans="2:51" ht="12.75">
      <c r="B128" s="120">
        <v>10</v>
      </c>
      <c r="C128" s="37"/>
      <c r="D128" s="33"/>
      <c r="E128" s="88"/>
      <c r="F128" s="79"/>
      <c r="G128" s="8" t="s">
        <v>9</v>
      </c>
      <c r="H128" s="42">
        <v>8892.75</v>
      </c>
      <c r="I128" s="20">
        <v>9546.92</v>
      </c>
      <c r="J128" s="20"/>
      <c r="K128" s="42"/>
      <c r="L128" s="42"/>
      <c r="M128" s="42"/>
      <c r="N128" s="41">
        <f t="shared" si="21"/>
        <v>477.346</v>
      </c>
      <c r="O128" s="68">
        <f t="shared" si="11"/>
        <v>432</v>
      </c>
      <c r="P128" s="94" t="s">
        <v>305</v>
      </c>
      <c r="Q128" s="48">
        <v>432</v>
      </c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57"/>
    </row>
    <row r="129" spans="2:51" ht="12.75">
      <c r="B129" s="120">
        <v>10</v>
      </c>
      <c r="C129" s="37"/>
      <c r="D129" s="33"/>
      <c r="E129" s="88"/>
      <c r="F129" s="79"/>
      <c r="G129" s="8" t="s">
        <v>10</v>
      </c>
      <c r="H129" s="42">
        <v>9018.39</v>
      </c>
      <c r="I129" s="20">
        <v>9009.86</v>
      </c>
      <c r="J129" s="20"/>
      <c r="K129" s="42"/>
      <c r="L129" s="42"/>
      <c r="M129" s="42"/>
      <c r="N129" s="41">
        <f t="shared" si="21"/>
        <v>450.49300000000005</v>
      </c>
      <c r="O129" s="68">
        <f t="shared" si="11"/>
        <v>0</v>
      </c>
      <c r="P129" s="94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57"/>
    </row>
    <row r="130" spans="2:51" ht="12.75">
      <c r="B130" s="120">
        <v>10</v>
      </c>
      <c r="C130" s="37"/>
      <c r="D130" s="33"/>
      <c r="E130" s="88"/>
      <c r="F130" s="79"/>
      <c r="G130" s="8" t="s">
        <v>11</v>
      </c>
      <c r="H130" s="42">
        <v>9018.39</v>
      </c>
      <c r="I130" s="20">
        <v>8628.02</v>
      </c>
      <c r="J130" s="20"/>
      <c r="K130" s="42"/>
      <c r="L130" s="42"/>
      <c r="M130" s="42"/>
      <c r="N130" s="41">
        <f t="shared" si="21"/>
        <v>431.40100000000007</v>
      </c>
      <c r="O130" s="68">
        <f t="shared" si="11"/>
        <v>9826</v>
      </c>
      <c r="P130" s="176" t="s">
        <v>347</v>
      </c>
      <c r="Q130" s="48">
        <v>571</v>
      </c>
      <c r="R130" s="48"/>
      <c r="S130" s="48">
        <f>4094+2659</f>
        <v>6753</v>
      </c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>
        <v>2502</v>
      </c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57"/>
    </row>
    <row r="131" spans="2:51" ht="12.75">
      <c r="B131" s="120">
        <v>10</v>
      </c>
      <c r="C131" s="37"/>
      <c r="D131" s="33"/>
      <c r="E131" s="88"/>
      <c r="F131" s="79"/>
      <c r="G131" s="8" t="s">
        <v>12</v>
      </c>
      <c r="H131" s="42">
        <v>23831.3</v>
      </c>
      <c r="I131" s="20">
        <v>11435.06</v>
      </c>
      <c r="J131" s="20"/>
      <c r="K131" s="42"/>
      <c r="L131" s="42"/>
      <c r="M131" s="42"/>
      <c r="N131" s="41">
        <f t="shared" si="21"/>
        <v>571.753</v>
      </c>
      <c r="O131" s="68">
        <f t="shared" si="11"/>
        <v>6236</v>
      </c>
      <c r="P131" s="176" t="s">
        <v>327</v>
      </c>
      <c r="Q131" s="48">
        <f>2738+3260</f>
        <v>5998</v>
      </c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>
        <v>238</v>
      </c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57"/>
    </row>
    <row r="132" spans="2:51" ht="12.75">
      <c r="B132" s="120">
        <v>10</v>
      </c>
      <c r="C132" s="37"/>
      <c r="D132" s="33"/>
      <c r="E132" s="88"/>
      <c r="F132" s="79"/>
      <c r="G132" s="8" t="s">
        <v>13</v>
      </c>
      <c r="H132" s="42">
        <v>16406.99</v>
      </c>
      <c r="I132" s="20">
        <v>20711.51</v>
      </c>
      <c r="J132" s="20"/>
      <c r="K132" s="42"/>
      <c r="L132" s="42"/>
      <c r="M132" s="42"/>
      <c r="N132" s="41">
        <f t="shared" si="21"/>
        <v>1035.5755</v>
      </c>
      <c r="O132" s="68">
        <f aca="true" t="shared" si="22" ref="O132:O195">SUM(Q132:AX132)</f>
        <v>643</v>
      </c>
      <c r="P132" s="98" t="s">
        <v>345</v>
      </c>
      <c r="Q132" s="48">
        <v>376</v>
      </c>
      <c r="R132" s="48"/>
      <c r="S132" s="48"/>
      <c r="T132" s="48"/>
      <c r="U132" s="48"/>
      <c r="V132" s="48"/>
      <c r="W132" s="48"/>
      <c r="X132" s="48"/>
      <c r="Y132" s="48">
        <v>267</v>
      </c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57"/>
    </row>
    <row r="133" spans="2:51" ht="13.5" thickBot="1">
      <c r="B133" s="121">
        <v>10</v>
      </c>
      <c r="C133" s="38"/>
      <c r="D133" s="35"/>
      <c r="E133" s="125"/>
      <c r="F133" s="80"/>
      <c r="G133" s="12" t="s">
        <v>14</v>
      </c>
      <c r="H133" s="42">
        <v>16406.99</v>
      </c>
      <c r="I133" s="21">
        <v>25325.61</v>
      </c>
      <c r="J133" s="66"/>
      <c r="K133" s="42"/>
      <c r="L133" s="42"/>
      <c r="M133" s="42"/>
      <c r="N133" s="41">
        <f t="shared" si="21"/>
        <v>1266.2805</v>
      </c>
      <c r="O133" s="68">
        <f t="shared" si="22"/>
        <v>1055</v>
      </c>
      <c r="P133" s="108" t="s">
        <v>357</v>
      </c>
      <c r="Q133" s="49">
        <v>1055</v>
      </c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128">
        <f>AY121+(I121-K121-L121-M121-N121)+J121-O121</f>
        <v>105309.63149999999</v>
      </c>
    </row>
    <row r="134" spans="2:64" s="4" customFormat="1" ht="14.25" thickBot="1" thickTop="1">
      <c r="B134" s="118">
        <v>11</v>
      </c>
      <c r="C134" s="28" t="s">
        <v>19</v>
      </c>
      <c r="D134" s="29">
        <v>72</v>
      </c>
      <c r="E134" s="141" t="s">
        <v>45</v>
      </c>
      <c r="F134" s="77">
        <v>2961.9</v>
      </c>
      <c r="G134" s="50"/>
      <c r="H134" s="69">
        <v>-500</v>
      </c>
      <c r="I134" s="70">
        <v>300.67</v>
      </c>
      <c r="J134" s="70">
        <f>SUM(J135:J146)</f>
        <v>4404.09</v>
      </c>
      <c r="K134" s="69">
        <f>SUM(K135:K146)</f>
        <v>12252.45</v>
      </c>
      <c r="L134" s="69">
        <f>SUM(L135:L146)</f>
        <v>10499.79</v>
      </c>
      <c r="M134" s="69">
        <f>SUM(M135:M146)</f>
        <v>86.88</v>
      </c>
      <c r="N134" s="69">
        <f>SUM(N135:N146)</f>
        <v>15.033500000000002</v>
      </c>
      <c r="O134" s="16">
        <f t="shared" si="22"/>
        <v>293774.2</v>
      </c>
      <c r="P134" s="99"/>
      <c r="Q134" s="11">
        <f aca="true" t="shared" si="23" ref="Q134:AX134">SUM(Q135:Q146)</f>
        <v>3284</v>
      </c>
      <c r="R134" s="11">
        <f t="shared" si="23"/>
        <v>3633</v>
      </c>
      <c r="S134" s="11">
        <f t="shared" si="23"/>
        <v>6240</v>
      </c>
      <c r="T134" s="11">
        <f t="shared" si="23"/>
        <v>0</v>
      </c>
      <c r="U134" s="11">
        <f t="shared" si="23"/>
        <v>0</v>
      </c>
      <c r="V134" s="11">
        <f t="shared" si="23"/>
        <v>5448</v>
      </c>
      <c r="W134" s="11">
        <f t="shared" si="23"/>
        <v>60700</v>
      </c>
      <c r="X134" s="11">
        <f t="shared" si="23"/>
        <v>0</v>
      </c>
      <c r="Y134" s="11">
        <f t="shared" si="23"/>
        <v>977</v>
      </c>
      <c r="Z134" s="11">
        <f t="shared" si="23"/>
        <v>0</v>
      </c>
      <c r="AA134" s="11">
        <f t="shared" si="23"/>
        <v>0</v>
      </c>
      <c r="AB134" s="11">
        <f t="shared" si="23"/>
        <v>0</v>
      </c>
      <c r="AC134" s="11">
        <f t="shared" si="23"/>
        <v>0</v>
      </c>
      <c r="AD134" s="11">
        <f t="shared" si="23"/>
        <v>289</v>
      </c>
      <c r="AE134" s="11">
        <f t="shared" si="23"/>
        <v>0</v>
      </c>
      <c r="AF134" s="11">
        <f t="shared" si="23"/>
        <v>0</v>
      </c>
      <c r="AG134" s="11">
        <f t="shared" si="23"/>
        <v>0</v>
      </c>
      <c r="AH134" s="11">
        <f t="shared" si="23"/>
        <v>0</v>
      </c>
      <c r="AI134" s="11">
        <f t="shared" si="23"/>
        <v>0</v>
      </c>
      <c r="AJ134" s="11">
        <f t="shared" si="23"/>
        <v>213203.2</v>
      </c>
      <c r="AK134" s="11">
        <f t="shared" si="23"/>
        <v>0</v>
      </c>
      <c r="AL134" s="11">
        <f t="shared" si="23"/>
        <v>0</v>
      </c>
      <c r="AM134" s="11">
        <f t="shared" si="23"/>
        <v>0</v>
      </c>
      <c r="AN134" s="11">
        <f t="shared" si="23"/>
        <v>0</v>
      </c>
      <c r="AO134" s="11">
        <f>SUM(AO135:AO146)</f>
        <v>0</v>
      </c>
      <c r="AP134" s="11">
        <f t="shared" si="23"/>
        <v>0</v>
      </c>
      <c r="AQ134" s="11">
        <f t="shared" si="23"/>
        <v>0</v>
      </c>
      <c r="AR134" s="11">
        <f t="shared" si="23"/>
        <v>0</v>
      </c>
      <c r="AS134" s="11">
        <f t="shared" si="23"/>
        <v>0</v>
      </c>
      <c r="AT134" s="11">
        <f t="shared" si="23"/>
        <v>0</v>
      </c>
      <c r="AU134" s="11">
        <f t="shared" si="23"/>
        <v>0</v>
      </c>
      <c r="AV134" s="11">
        <f t="shared" si="23"/>
        <v>0</v>
      </c>
      <c r="AW134" s="11">
        <f t="shared" si="23"/>
        <v>0</v>
      </c>
      <c r="AX134" s="11">
        <f t="shared" si="23"/>
        <v>0</v>
      </c>
      <c r="AY134" s="127">
        <v>-92829.66</v>
      </c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2:51" ht="13.5" thickTop="1">
      <c r="B135" s="119">
        <v>11</v>
      </c>
      <c r="C135" s="30" t="s">
        <v>68</v>
      </c>
      <c r="D135" s="31"/>
      <c r="E135" s="89" t="s">
        <v>95</v>
      </c>
      <c r="F135" s="78"/>
      <c r="G135" s="9" t="s">
        <v>3</v>
      </c>
      <c r="H135" s="41">
        <v>0</v>
      </c>
      <c r="I135" s="19">
        <v>0</v>
      </c>
      <c r="J135" s="19">
        <v>4404.09</v>
      </c>
      <c r="K135" s="41">
        <v>12252.45</v>
      </c>
      <c r="L135" s="41">
        <v>10499.79</v>
      </c>
      <c r="M135" s="41">
        <v>86.88</v>
      </c>
      <c r="N135" s="41">
        <f aca="true" t="shared" si="24" ref="N135:N146">I135*0.05</f>
        <v>0</v>
      </c>
      <c r="O135" s="68">
        <f t="shared" si="22"/>
        <v>308086.2</v>
      </c>
      <c r="P135" s="107"/>
      <c r="Q135" s="39">
        <v>646</v>
      </c>
      <c r="R135" s="39"/>
      <c r="S135" s="39"/>
      <c r="T135" s="39"/>
      <c r="U135" s="39"/>
      <c r="V135" s="39"/>
      <c r="W135" s="39">
        <v>94237</v>
      </c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>
        <v>213203.2</v>
      </c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131"/>
    </row>
    <row r="136" spans="2:51" ht="12.75">
      <c r="B136" s="120">
        <v>11</v>
      </c>
      <c r="C136" s="169" t="s">
        <v>77</v>
      </c>
      <c r="D136" s="33"/>
      <c r="E136" s="90" t="s">
        <v>93</v>
      </c>
      <c r="F136" s="79"/>
      <c r="G136" s="8" t="s">
        <v>4</v>
      </c>
      <c r="H136" s="42">
        <v>0</v>
      </c>
      <c r="I136" s="20">
        <v>300.67</v>
      </c>
      <c r="J136" s="19">
        <f>'[1]Учет по КР '!G45</f>
        <v>0</v>
      </c>
      <c r="K136" s="42"/>
      <c r="L136" s="42"/>
      <c r="M136" s="42"/>
      <c r="N136" s="41">
        <f t="shared" si="24"/>
        <v>15.033500000000002</v>
      </c>
      <c r="O136" s="68">
        <f t="shared" si="22"/>
        <v>-27735</v>
      </c>
      <c r="P136" s="95" t="s">
        <v>196</v>
      </c>
      <c r="Q136" s="48">
        <v>354</v>
      </c>
      <c r="R136" s="48"/>
      <c r="S136" s="48"/>
      <c r="T136" s="48"/>
      <c r="U136" s="48"/>
      <c r="V136" s="48">
        <v>5448</v>
      </c>
      <c r="W136" s="48">
        <v>-33537</v>
      </c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39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57"/>
    </row>
    <row r="137" spans="2:51" ht="12.75">
      <c r="B137" s="120">
        <v>11</v>
      </c>
      <c r="C137" s="37"/>
      <c r="D137" s="33"/>
      <c r="E137" s="90" t="s">
        <v>126</v>
      </c>
      <c r="F137" s="79"/>
      <c r="G137" s="8" t="s">
        <v>5</v>
      </c>
      <c r="H137" s="42">
        <v>0</v>
      </c>
      <c r="I137" s="20">
        <v>0</v>
      </c>
      <c r="J137" s="19">
        <f>'[1]Учет по КР '!G46</f>
        <v>0</v>
      </c>
      <c r="K137" s="42"/>
      <c r="L137" s="42"/>
      <c r="M137" s="42"/>
      <c r="N137" s="41">
        <f t="shared" si="24"/>
        <v>0</v>
      </c>
      <c r="O137" s="68">
        <f t="shared" si="22"/>
        <v>3802</v>
      </c>
      <c r="P137" s="98" t="s">
        <v>197</v>
      </c>
      <c r="Q137" s="48"/>
      <c r="R137" s="48"/>
      <c r="S137" s="48">
        <f>1524+2278</f>
        <v>3802</v>
      </c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57"/>
    </row>
    <row r="138" spans="2:51" ht="12.75">
      <c r="B138" s="120">
        <v>11</v>
      </c>
      <c r="C138" s="37"/>
      <c r="D138" s="33"/>
      <c r="E138" s="170"/>
      <c r="F138" s="79"/>
      <c r="G138" s="8" t="s">
        <v>6</v>
      </c>
      <c r="H138" s="42">
        <v>0</v>
      </c>
      <c r="I138" s="20">
        <v>0</v>
      </c>
      <c r="J138" s="19">
        <f>'[1]Учет по КР '!G47</f>
        <v>0</v>
      </c>
      <c r="K138" s="42"/>
      <c r="L138" s="42"/>
      <c r="M138" s="42"/>
      <c r="N138" s="41">
        <f t="shared" si="24"/>
        <v>0</v>
      </c>
      <c r="O138" s="68">
        <f t="shared" si="22"/>
        <v>1580</v>
      </c>
      <c r="P138" s="98" t="s">
        <v>179</v>
      </c>
      <c r="Q138" s="48">
        <v>564</v>
      </c>
      <c r="R138" s="48"/>
      <c r="S138" s="48">
        <v>1016</v>
      </c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57"/>
    </row>
    <row r="139" spans="2:51" ht="12.75">
      <c r="B139" s="120">
        <v>11</v>
      </c>
      <c r="C139" s="37"/>
      <c r="D139" s="33"/>
      <c r="E139" s="170" t="s">
        <v>78</v>
      </c>
      <c r="F139" s="79"/>
      <c r="G139" s="8" t="s">
        <v>7</v>
      </c>
      <c r="H139" s="42">
        <v>-500</v>
      </c>
      <c r="I139" s="20">
        <v>0</v>
      </c>
      <c r="J139" s="19">
        <f>'[1]Учет по КР '!G48</f>
        <v>0</v>
      </c>
      <c r="K139" s="42"/>
      <c r="L139" s="42"/>
      <c r="M139" s="42"/>
      <c r="N139" s="41">
        <f t="shared" si="24"/>
        <v>0</v>
      </c>
      <c r="O139" s="68">
        <f t="shared" si="22"/>
        <v>2377</v>
      </c>
      <c r="P139" s="94" t="s">
        <v>249</v>
      </c>
      <c r="Q139" s="48">
        <v>1400</v>
      </c>
      <c r="R139" s="48"/>
      <c r="S139" s="48"/>
      <c r="T139" s="48"/>
      <c r="U139" s="48"/>
      <c r="V139" s="48"/>
      <c r="W139" s="48"/>
      <c r="X139" s="48"/>
      <c r="Y139" s="48">
        <v>977</v>
      </c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57"/>
    </row>
    <row r="140" spans="2:51" ht="12.75">
      <c r="B140" s="120">
        <v>11</v>
      </c>
      <c r="C140" s="37"/>
      <c r="D140" s="33"/>
      <c r="E140" s="170" t="s">
        <v>78</v>
      </c>
      <c r="F140" s="79"/>
      <c r="G140" s="8" t="s">
        <v>8</v>
      </c>
      <c r="H140" s="42">
        <v>0</v>
      </c>
      <c r="I140" s="20">
        <v>0</v>
      </c>
      <c r="J140" s="19">
        <f>'[1]Учет по КР '!G49</f>
        <v>0</v>
      </c>
      <c r="K140" s="42"/>
      <c r="L140" s="42"/>
      <c r="M140" s="42"/>
      <c r="N140" s="41">
        <f t="shared" si="24"/>
        <v>0</v>
      </c>
      <c r="O140" s="68">
        <f t="shared" si="22"/>
        <v>1422</v>
      </c>
      <c r="P140" s="98" t="s">
        <v>188</v>
      </c>
      <c r="Q140" s="48"/>
      <c r="R140" s="48"/>
      <c r="S140" s="48">
        <v>1422</v>
      </c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57"/>
    </row>
    <row r="141" spans="2:51" ht="12.75">
      <c r="B141" s="120">
        <v>11</v>
      </c>
      <c r="C141" s="37"/>
      <c r="D141" s="33"/>
      <c r="E141" s="170" t="s">
        <v>78</v>
      </c>
      <c r="F141" s="79"/>
      <c r="G141" s="8" t="s">
        <v>9</v>
      </c>
      <c r="H141" s="42">
        <v>0</v>
      </c>
      <c r="I141" s="20">
        <v>0</v>
      </c>
      <c r="J141" s="19">
        <f>'[1]Учет по КР '!G50</f>
        <v>0</v>
      </c>
      <c r="K141" s="42"/>
      <c r="L141" s="42"/>
      <c r="M141" s="42"/>
      <c r="N141" s="41">
        <f t="shared" si="24"/>
        <v>0</v>
      </c>
      <c r="O141" s="68">
        <f t="shared" si="22"/>
        <v>0</v>
      </c>
      <c r="P141" s="9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57"/>
    </row>
    <row r="142" spans="2:51" ht="12.75">
      <c r="B142" s="120">
        <v>11</v>
      </c>
      <c r="C142" s="37"/>
      <c r="D142" s="33"/>
      <c r="E142" s="170" t="s">
        <v>78</v>
      </c>
      <c r="F142" s="79"/>
      <c r="G142" s="8" t="s">
        <v>10</v>
      </c>
      <c r="H142" s="42">
        <v>0</v>
      </c>
      <c r="I142" s="20">
        <v>0</v>
      </c>
      <c r="J142" s="19">
        <f>'[1]Учет по КР '!G51</f>
        <v>0</v>
      </c>
      <c r="K142" s="42"/>
      <c r="L142" s="42"/>
      <c r="M142" s="42"/>
      <c r="N142" s="41">
        <f t="shared" si="24"/>
        <v>0</v>
      </c>
      <c r="O142" s="68">
        <f t="shared" si="22"/>
        <v>0</v>
      </c>
      <c r="P142" s="94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57"/>
    </row>
    <row r="143" spans="2:51" ht="12.75">
      <c r="B143" s="120">
        <v>11</v>
      </c>
      <c r="C143" s="37"/>
      <c r="D143" s="33"/>
      <c r="E143" s="170" t="s">
        <v>78</v>
      </c>
      <c r="F143" s="79"/>
      <c r="G143" s="8" t="s">
        <v>11</v>
      </c>
      <c r="H143" s="42">
        <v>0</v>
      </c>
      <c r="I143" s="20">
        <v>0</v>
      </c>
      <c r="J143" s="19">
        <f>'[1]Учет по КР '!G52</f>
        <v>0</v>
      </c>
      <c r="K143" s="42"/>
      <c r="L143" s="42"/>
      <c r="M143" s="42"/>
      <c r="N143" s="41">
        <f t="shared" si="24"/>
        <v>0</v>
      </c>
      <c r="O143" s="68">
        <f t="shared" si="22"/>
        <v>0</v>
      </c>
      <c r="P143" s="176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57"/>
    </row>
    <row r="144" spans="2:51" ht="12.75">
      <c r="B144" s="120">
        <v>11</v>
      </c>
      <c r="C144" s="37"/>
      <c r="D144" s="33"/>
      <c r="E144" s="170" t="s">
        <v>78</v>
      </c>
      <c r="F144" s="79"/>
      <c r="G144" s="8" t="s">
        <v>12</v>
      </c>
      <c r="H144" s="42">
        <v>0</v>
      </c>
      <c r="I144" s="20">
        <v>0</v>
      </c>
      <c r="J144" s="19">
        <f>'[1]Учет по КР '!G53</f>
        <v>0</v>
      </c>
      <c r="K144" s="42"/>
      <c r="L144" s="42"/>
      <c r="M144" s="42"/>
      <c r="N144" s="41">
        <f t="shared" si="24"/>
        <v>0</v>
      </c>
      <c r="O144" s="68">
        <f t="shared" si="22"/>
        <v>3360</v>
      </c>
      <c r="P144" s="98" t="s">
        <v>305</v>
      </c>
      <c r="Q144" s="48"/>
      <c r="R144" s="48">
        <v>3360</v>
      </c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57"/>
    </row>
    <row r="145" spans="2:51" ht="12.75">
      <c r="B145" s="120">
        <v>11</v>
      </c>
      <c r="C145" s="37"/>
      <c r="D145" s="33"/>
      <c r="E145" s="170" t="s">
        <v>78</v>
      </c>
      <c r="F145" s="79"/>
      <c r="G145" s="8" t="s">
        <v>13</v>
      </c>
      <c r="H145" s="42">
        <v>0</v>
      </c>
      <c r="I145" s="20">
        <v>0</v>
      </c>
      <c r="J145" s="19">
        <f>'[1]Учет по КР '!G54</f>
        <v>0</v>
      </c>
      <c r="K145" s="42"/>
      <c r="L145" s="42"/>
      <c r="M145" s="42"/>
      <c r="N145" s="41">
        <f t="shared" si="24"/>
        <v>0</v>
      </c>
      <c r="O145" s="68">
        <f t="shared" si="22"/>
        <v>593</v>
      </c>
      <c r="P145" s="98" t="s">
        <v>349</v>
      </c>
      <c r="Q145" s="48">
        <v>320</v>
      </c>
      <c r="R145" s="48">
        <v>273</v>
      </c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57"/>
    </row>
    <row r="146" spans="2:51" ht="13.5" thickBot="1">
      <c r="B146" s="121">
        <v>11</v>
      </c>
      <c r="C146" s="38"/>
      <c r="D146" s="35"/>
      <c r="E146" s="171" t="s">
        <v>78</v>
      </c>
      <c r="F146" s="80"/>
      <c r="G146" s="12" t="s">
        <v>14</v>
      </c>
      <c r="H146" s="43">
        <v>0</v>
      </c>
      <c r="I146" s="21">
        <v>0</v>
      </c>
      <c r="J146" s="19">
        <f>'[1]Учет по КР '!G55</f>
        <v>0</v>
      </c>
      <c r="K146" s="43"/>
      <c r="L146" s="43"/>
      <c r="M146" s="43"/>
      <c r="N146" s="41">
        <f t="shared" si="24"/>
        <v>0</v>
      </c>
      <c r="O146" s="68">
        <f t="shared" si="22"/>
        <v>289</v>
      </c>
      <c r="P146" s="108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>
        <v>289</v>
      </c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128">
        <f>AY134+(I134-K134-L134-M134-N134)+J134-O134</f>
        <v>-404753.2535</v>
      </c>
    </row>
    <row r="147" spans="2:64" s="4" customFormat="1" ht="14.25" thickBot="1" thickTop="1">
      <c r="B147" s="118">
        <v>12</v>
      </c>
      <c r="C147" s="28" t="s">
        <v>35</v>
      </c>
      <c r="D147" s="29">
        <v>31</v>
      </c>
      <c r="E147" s="141" t="s">
        <v>47</v>
      </c>
      <c r="F147" s="77">
        <v>861.8</v>
      </c>
      <c r="G147" s="50"/>
      <c r="H147" s="69">
        <v>36123.21</v>
      </c>
      <c r="I147" s="70">
        <v>35454.31999999999</v>
      </c>
      <c r="J147" s="70">
        <f>SUM(J148:J159)</f>
        <v>0</v>
      </c>
      <c r="K147" s="69">
        <f>SUM(K148:K159)</f>
        <v>1053.6</v>
      </c>
      <c r="L147" s="69">
        <f>SUM(L148:L159)</f>
        <v>3814.02</v>
      </c>
      <c r="M147" s="69">
        <f>SUM(M148:M159)</f>
        <v>1377.5</v>
      </c>
      <c r="N147" s="69">
        <f>SUM(N148:N159)</f>
        <v>1772.7160000000001</v>
      </c>
      <c r="O147" s="16">
        <f t="shared" si="22"/>
        <v>259210</v>
      </c>
      <c r="P147" s="99"/>
      <c r="Q147" s="11">
        <f aca="true" t="shared" si="25" ref="Q147:AX147">SUM(Q148:Q159)</f>
        <v>246818</v>
      </c>
      <c r="R147" s="11">
        <f t="shared" si="25"/>
        <v>0</v>
      </c>
      <c r="S147" s="11">
        <f t="shared" si="25"/>
        <v>0</v>
      </c>
      <c r="T147" s="11">
        <f t="shared" si="25"/>
        <v>0</v>
      </c>
      <c r="U147" s="11">
        <f t="shared" si="25"/>
        <v>164</v>
      </c>
      <c r="V147" s="11">
        <f t="shared" si="25"/>
        <v>0</v>
      </c>
      <c r="W147" s="11">
        <f t="shared" si="25"/>
        <v>0</v>
      </c>
      <c r="X147" s="11">
        <f t="shared" si="25"/>
        <v>0</v>
      </c>
      <c r="Y147" s="11">
        <f t="shared" si="25"/>
        <v>0</v>
      </c>
      <c r="Z147" s="11">
        <f t="shared" si="25"/>
        <v>0</v>
      </c>
      <c r="AA147" s="11">
        <f t="shared" si="25"/>
        <v>0</v>
      </c>
      <c r="AB147" s="11">
        <f t="shared" si="25"/>
        <v>0</v>
      </c>
      <c r="AC147" s="11">
        <f t="shared" si="25"/>
        <v>0</v>
      </c>
      <c r="AD147" s="11">
        <f t="shared" si="25"/>
        <v>6160</v>
      </c>
      <c r="AE147" s="11">
        <f t="shared" si="25"/>
        <v>0</v>
      </c>
      <c r="AF147" s="11">
        <f t="shared" si="25"/>
        <v>0</v>
      </c>
      <c r="AG147" s="11">
        <f t="shared" si="25"/>
        <v>0</v>
      </c>
      <c r="AH147" s="11">
        <f t="shared" si="25"/>
        <v>0</v>
      </c>
      <c r="AI147" s="11">
        <f t="shared" si="25"/>
        <v>0</v>
      </c>
      <c r="AJ147" s="11">
        <f t="shared" si="25"/>
        <v>0</v>
      </c>
      <c r="AK147" s="11">
        <f t="shared" si="25"/>
        <v>0</v>
      </c>
      <c r="AL147" s="11">
        <f t="shared" si="25"/>
        <v>0</v>
      </c>
      <c r="AM147" s="11">
        <f t="shared" si="25"/>
        <v>0</v>
      </c>
      <c r="AN147" s="11">
        <f t="shared" si="25"/>
        <v>6068</v>
      </c>
      <c r="AO147" s="11">
        <f>SUM(AO148:AO159)</f>
        <v>0</v>
      </c>
      <c r="AP147" s="11">
        <f t="shared" si="25"/>
        <v>0</v>
      </c>
      <c r="AQ147" s="11">
        <f t="shared" si="25"/>
        <v>0</v>
      </c>
      <c r="AR147" s="11">
        <f t="shared" si="25"/>
        <v>0</v>
      </c>
      <c r="AS147" s="11">
        <f t="shared" si="25"/>
        <v>0</v>
      </c>
      <c r="AT147" s="11">
        <f t="shared" si="25"/>
        <v>0</v>
      </c>
      <c r="AU147" s="11">
        <f t="shared" si="25"/>
        <v>0</v>
      </c>
      <c r="AV147" s="11">
        <f t="shared" si="25"/>
        <v>0</v>
      </c>
      <c r="AW147" s="11">
        <f t="shared" si="25"/>
        <v>0</v>
      </c>
      <c r="AX147" s="11">
        <f t="shared" si="25"/>
        <v>0</v>
      </c>
      <c r="AY147" s="127">
        <v>40958.16</v>
      </c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2:51" ht="13.5" thickTop="1">
      <c r="B148" s="119">
        <v>12</v>
      </c>
      <c r="C148" s="36" t="s">
        <v>69</v>
      </c>
      <c r="D148" s="31"/>
      <c r="E148" s="184" t="s">
        <v>138</v>
      </c>
      <c r="F148" s="78"/>
      <c r="G148" s="9" t="s">
        <v>3</v>
      </c>
      <c r="H148" s="41">
        <v>2189.72</v>
      </c>
      <c r="I148" s="19">
        <v>1727.44</v>
      </c>
      <c r="J148" s="19"/>
      <c r="K148" s="41">
        <v>1053.6</v>
      </c>
      <c r="L148" s="41">
        <v>3814.02</v>
      </c>
      <c r="M148" s="41">
        <v>1377.5</v>
      </c>
      <c r="N148" s="41">
        <f aca="true" t="shared" si="26" ref="N148:N159">I148*0.05</f>
        <v>86.37200000000001</v>
      </c>
      <c r="O148" s="68">
        <f t="shared" si="22"/>
        <v>0</v>
      </c>
      <c r="P148" s="107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131"/>
    </row>
    <row r="149" spans="2:51" ht="12.75">
      <c r="B149" s="120">
        <v>12</v>
      </c>
      <c r="C149" s="37"/>
      <c r="D149" s="33"/>
      <c r="E149" s="90" t="s">
        <v>130</v>
      </c>
      <c r="F149" s="79"/>
      <c r="G149" s="8" t="s">
        <v>4</v>
      </c>
      <c r="H149" s="42">
        <v>2189.72</v>
      </c>
      <c r="I149" s="20">
        <v>1779.51</v>
      </c>
      <c r="J149" s="20"/>
      <c r="K149" s="42"/>
      <c r="L149" s="42"/>
      <c r="M149" s="42"/>
      <c r="N149" s="41">
        <f t="shared" si="26"/>
        <v>88.97550000000001</v>
      </c>
      <c r="O149" s="68">
        <f t="shared" si="22"/>
        <v>0</v>
      </c>
      <c r="P149" s="95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57"/>
    </row>
    <row r="150" spans="2:51" ht="12.75">
      <c r="B150" s="120">
        <v>12</v>
      </c>
      <c r="C150" s="37"/>
      <c r="D150" s="33"/>
      <c r="E150" s="90"/>
      <c r="F150" s="79"/>
      <c r="G150" s="8" t="s">
        <v>5</v>
      </c>
      <c r="H150" s="42">
        <v>2189.72</v>
      </c>
      <c r="I150" s="20">
        <v>2201.37</v>
      </c>
      <c r="J150" s="20"/>
      <c r="K150" s="42"/>
      <c r="L150" s="42"/>
      <c r="M150" s="42"/>
      <c r="N150" s="41">
        <f t="shared" si="26"/>
        <v>110.0685</v>
      </c>
      <c r="O150" s="68">
        <f t="shared" si="22"/>
        <v>0</v>
      </c>
      <c r="P150" s="9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57"/>
    </row>
    <row r="151" spans="2:51" ht="12.75">
      <c r="B151" s="120">
        <v>12</v>
      </c>
      <c r="C151" s="37"/>
      <c r="D151" s="33"/>
      <c r="E151" s="88"/>
      <c r="F151" s="79"/>
      <c r="G151" s="8" t="s">
        <v>6</v>
      </c>
      <c r="H151" s="42">
        <v>2184.89</v>
      </c>
      <c r="I151" s="20">
        <v>2145.77</v>
      </c>
      <c r="J151" s="20"/>
      <c r="K151" s="42"/>
      <c r="L151" s="42"/>
      <c r="M151" s="42"/>
      <c r="N151" s="41">
        <f t="shared" si="26"/>
        <v>107.2885</v>
      </c>
      <c r="O151" s="68">
        <f t="shared" si="22"/>
        <v>0</v>
      </c>
      <c r="P151" s="9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57"/>
    </row>
    <row r="152" spans="2:51" ht="12.75">
      <c r="B152" s="120">
        <v>12</v>
      </c>
      <c r="C152" s="37"/>
      <c r="D152" s="33"/>
      <c r="E152" s="88"/>
      <c r="F152" s="79"/>
      <c r="G152" s="8" t="s">
        <v>7</v>
      </c>
      <c r="H152" s="42">
        <v>2184.89</v>
      </c>
      <c r="I152" s="20">
        <v>2130.96</v>
      </c>
      <c r="J152" s="20"/>
      <c r="K152" s="42"/>
      <c r="L152" s="42"/>
      <c r="M152" s="42"/>
      <c r="N152" s="41">
        <f t="shared" si="26"/>
        <v>106.548</v>
      </c>
      <c r="O152" s="68">
        <f t="shared" si="22"/>
        <v>0</v>
      </c>
      <c r="P152" s="176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57"/>
    </row>
    <row r="153" spans="2:51" ht="12.75">
      <c r="B153" s="120">
        <v>12</v>
      </c>
      <c r="C153" s="37"/>
      <c r="D153" s="33"/>
      <c r="E153" s="88"/>
      <c r="F153" s="79"/>
      <c r="G153" s="8" t="s">
        <v>8</v>
      </c>
      <c r="H153" s="42">
        <v>2184.89</v>
      </c>
      <c r="I153" s="20">
        <v>2658.22</v>
      </c>
      <c r="J153" s="20"/>
      <c r="K153" s="42"/>
      <c r="L153" s="42"/>
      <c r="M153" s="42"/>
      <c r="N153" s="41">
        <f t="shared" si="26"/>
        <v>132.911</v>
      </c>
      <c r="O153" s="68">
        <f t="shared" si="22"/>
        <v>0</v>
      </c>
      <c r="P153" s="9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57"/>
    </row>
    <row r="154" spans="2:51" ht="12.75">
      <c r="B154" s="120">
        <v>12</v>
      </c>
      <c r="C154" s="37"/>
      <c r="D154" s="33"/>
      <c r="E154" s="88"/>
      <c r="F154" s="79"/>
      <c r="G154" s="8" t="s">
        <v>9</v>
      </c>
      <c r="H154" s="42">
        <v>2451.61</v>
      </c>
      <c r="I154" s="20">
        <v>2318.23</v>
      </c>
      <c r="J154" s="20"/>
      <c r="K154" s="42"/>
      <c r="L154" s="42"/>
      <c r="M154" s="42"/>
      <c r="N154" s="41">
        <f t="shared" si="26"/>
        <v>115.9115</v>
      </c>
      <c r="O154" s="68">
        <f t="shared" si="22"/>
        <v>246818</v>
      </c>
      <c r="P154" s="98" t="s">
        <v>305</v>
      </c>
      <c r="Q154" s="48">
        <v>246818</v>
      </c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57"/>
    </row>
    <row r="155" spans="2:51" ht="12.75">
      <c r="B155" s="120">
        <v>12</v>
      </c>
      <c r="C155" s="37"/>
      <c r="D155" s="33"/>
      <c r="E155" s="88"/>
      <c r="F155" s="79"/>
      <c r="G155" s="8" t="s">
        <v>10</v>
      </c>
      <c r="H155" s="42">
        <v>2451.61</v>
      </c>
      <c r="I155" s="20">
        <v>2241.95</v>
      </c>
      <c r="J155" s="20"/>
      <c r="K155" s="42"/>
      <c r="L155" s="42"/>
      <c r="M155" s="42"/>
      <c r="N155" s="41">
        <f t="shared" si="26"/>
        <v>112.0975</v>
      </c>
      <c r="O155" s="68">
        <f t="shared" si="22"/>
        <v>0</v>
      </c>
      <c r="P155" s="94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57"/>
    </row>
    <row r="156" spans="2:51" ht="12.75">
      <c r="B156" s="120">
        <v>12</v>
      </c>
      <c r="C156" s="37"/>
      <c r="D156" s="33"/>
      <c r="E156" s="88"/>
      <c r="F156" s="79"/>
      <c r="G156" s="8" t="s">
        <v>11</v>
      </c>
      <c r="H156" s="42">
        <v>2451.61</v>
      </c>
      <c r="I156" s="20">
        <v>1831.13</v>
      </c>
      <c r="J156" s="20"/>
      <c r="K156" s="42"/>
      <c r="L156" s="42"/>
      <c r="M156" s="42"/>
      <c r="N156" s="41">
        <f t="shared" si="26"/>
        <v>91.55650000000001</v>
      </c>
      <c r="O156" s="68">
        <f t="shared" si="22"/>
        <v>6232</v>
      </c>
      <c r="P156" s="98" t="s">
        <v>304</v>
      </c>
      <c r="Q156" s="48"/>
      <c r="R156" s="48"/>
      <c r="S156" s="48"/>
      <c r="T156" s="48"/>
      <c r="U156" s="48">
        <v>164</v>
      </c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>
        <v>6068</v>
      </c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57"/>
    </row>
    <row r="157" spans="2:51" ht="12.75">
      <c r="B157" s="120">
        <v>12</v>
      </c>
      <c r="C157" s="37"/>
      <c r="D157" s="33"/>
      <c r="E157" s="88"/>
      <c r="F157" s="79"/>
      <c r="G157" s="8" t="s">
        <v>12</v>
      </c>
      <c r="H157" s="42">
        <v>5212.83</v>
      </c>
      <c r="I157" s="20">
        <v>3120.78</v>
      </c>
      <c r="J157" s="20"/>
      <c r="K157" s="42"/>
      <c r="L157" s="42"/>
      <c r="M157" s="42"/>
      <c r="N157" s="41">
        <f t="shared" si="26"/>
        <v>156.03900000000002</v>
      </c>
      <c r="O157" s="68">
        <f t="shared" si="22"/>
        <v>6160</v>
      </c>
      <c r="P157" s="9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>
        <v>6160</v>
      </c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57"/>
    </row>
    <row r="158" spans="2:51" ht="12.75">
      <c r="B158" s="120">
        <v>12</v>
      </c>
      <c r="C158" s="37"/>
      <c r="D158" s="33"/>
      <c r="E158" s="88"/>
      <c r="F158" s="79"/>
      <c r="G158" s="8" t="s">
        <v>13</v>
      </c>
      <c r="H158" s="42">
        <v>5212.83</v>
      </c>
      <c r="I158" s="20">
        <v>7097.69</v>
      </c>
      <c r="J158" s="20"/>
      <c r="K158" s="42"/>
      <c r="L158" s="42"/>
      <c r="M158" s="42"/>
      <c r="N158" s="41">
        <f t="shared" si="26"/>
        <v>354.8845</v>
      </c>
      <c r="O158" s="68">
        <f t="shared" si="22"/>
        <v>0</v>
      </c>
      <c r="P158" s="9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57"/>
    </row>
    <row r="159" spans="2:51" ht="13.5" thickBot="1">
      <c r="B159" s="121">
        <v>12</v>
      </c>
      <c r="C159" s="38"/>
      <c r="D159" s="35"/>
      <c r="E159" s="125"/>
      <c r="F159" s="80"/>
      <c r="G159" s="12" t="s">
        <v>14</v>
      </c>
      <c r="H159" s="42">
        <v>5218.89</v>
      </c>
      <c r="I159" s="21">
        <v>6201.27</v>
      </c>
      <c r="J159" s="66"/>
      <c r="K159" s="42"/>
      <c r="L159" s="42"/>
      <c r="M159" s="42"/>
      <c r="N159" s="41">
        <f t="shared" si="26"/>
        <v>310.06350000000003</v>
      </c>
      <c r="O159" s="68">
        <f t="shared" si="22"/>
        <v>0</v>
      </c>
      <c r="P159" s="108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128">
        <f>AY147+(I147-K147-L147-M147-N147)+J147-O147</f>
        <v>-190815.356</v>
      </c>
    </row>
    <row r="160" spans="2:64" s="4" customFormat="1" ht="14.25" thickBot="1" thickTop="1">
      <c r="B160" s="118">
        <v>13</v>
      </c>
      <c r="C160" s="59" t="s">
        <v>18</v>
      </c>
      <c r="D160" s="29">
        <v>40</v>
      </c>
      <c r="E160" s="141" t="s">
        <v>51</v>
      </c>
      <c r="F160" s="77">
        <v>465.8</v>
      </c>
      <c r="G160" s="50"/>
      <c r="H160" s="69">
        <v>13244.619999999999</v>
      </c>
      <c r="I160" s="70">
        <v>15285.38</v>
      </c>
      <c r="J160" s="70">
        <f>SUM(J161:J172)</f>
        <v>0</v>
      </c>
      <c r="K160" s="69">
        <f>SUM(K161:K172)</f>
        <v>0</v>
      </c>
      <c r="L160" s="69">
        <f>SUM(L161:L172)</f>
        <v>1230.95</v>
      </c>
      <c r="M160" s="69">
        <f>SUM(M161:M172)</f>
        <v>489.46</v>
      </c>
      <c r="N160" s="69">
        <f>SUM(N161:N172)</f>
        <v>764.269</v>
      </c>
      <c r="O160" s="16">
        <f t="shared" si="22"/>
        <v>36752.97</v>
      </c>
      <c r="P160" s="99"/>
      <c r="Q160" s="11">
        <f aca="true" t="shared" si="27" ref="Q160:AX160">SUM(Q161:Q172)</f>
        <v>0</v>
      </c>
      <c r="R160" s="11">
        <f t="shared" si="27"/>
        <v>0</v>
      </c>
      <c r="S160" s="11">
        <f t="shared" si="27"/>
        <v>0</v>
      </c>
      <c r="T160" s="11">
        <f t="shared" si="27"/>
        <v>0</v>
      </c>
      <c r="U160" s="11">
        <f t="shared" si="27"/>
        <v>0</v>
      </c>
      <c r="V160" s="11">
        <f t="shared" si="27"/>
        <v>0</v>
      </c>
      <c r="W160" s="11">
        <f t="shared" si="27"/>
        <v>0</v>
      </c>
      <c r="X160" s="11">
        <f t="shared" si="27"/>
        <v>0</v>
      </c>
      <c r="Y160" s="11">
        <f t="shared" si="27"/>
        <v>0</v>
      </c>
      <c r="Z160" s="11">
        <f t="shared" si="27"/>
        <v>0</v>
      </c>
      <c r="AA160" s="11">
        <f t="shared" si="27"/>
        <v>32456</v>
      </c>
      <c r="AB160" s="11">
        <f t="shared" si="27"/>
        <v>0</v>
      </c>
      <c r="AC160" s="11">
        <f t="shared" si="27"/>
        <v>0</v>
      </c>
      <c r="AD160" s="11">
        <f t="shared" si="27"/>
        <v>0</v>
      </c>
      <c r="AE160" s="11">
        <f t="shared" si="27"/>
        <v>0</v>
      </c>
      <c r="AF160" s="11">
        <f t="shared" si="27"/>
        <v>0</v>
      </c>
      <c r="AG160" s="11">
        <f t="shared" si="27"/>
        <v>0</v>
      </c>
      <c r="AH160" s="11">
        <f t="shared" si="27"/>
        <v>0</v>
      </c>
      <c r="AI160" s="11">
        <f t="shared" si="27"/>
        <v>0</v>
      </c>
      <c r="AJ160" s="11">
        <f t="shared" si="27"/>
        <v>0</v>
      </c>
      <c r="AK160" s="11">
        <f t="shared" si="27"/>
        <v>0</v>
      </c>
      <c r="AL160" s="11">
        <f t="shared" si="27"/>
        <v>0</v>
      </c>
      <c r="AM160" s="11">
        <f t="shared" si="27"/>
        <v>0</v>
      </c>
      <c r="AN160" s="11">
        <f t="shared" si="27"/>
        <v>0</v>
      </c>
      <c r="AO160" s="11">
        <f>SUM(AO161:AO172)</f>
        <v>4296.97</v>
      </c>
      <c r="AP160" s="11">
        <f t="shared" si="27"/>
        <v>0</v>
      </c>
      <c r="AQ160" s="11">
        <f t="shared" si="27"/>
        <v>0</v>
      </c>
      <c r="AR160" s="11">
        <f t="shared" si="27"/>
        <v>0</v>
      </c>
      <c r="AS160" s="11">
        <f t="shared" si="27"/>
        <v>0</v>
      </c>
      <c r="AT160" s="11">
        <f t="shared" si="27"/>
        <v>0</v>
      </c>
      <c r="AU160" s="11">
        <f t="shared" si="27"/>
        <v>0</v>
      </c>
      <c r="AV160" s="11">
        <f t="shared" si="27"/>
        <v>0</v>
      </c>
      <c r="AW160" s="11">
        <f t="shared" si="27"/>
        <v>0</v>
      </c>
      <c r="AX160" s="11">
        <f t="shared" si="27"/>
        <v>0</v>
      </c>
      <c r="AY160" s="127">
        <v>-34554.36</v>
      </c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2:51" ht="13.5" thickTop="1">
      <c r="B161" s="119">
        <v>13</v>
      </c>
      <c r="C161" s="36" t="s">
        <v>70</v>
      </c>
      <c r="D161" s="31"/>
      <c r="E161" s="184" t="s">
        <v>139</v>
      </c>
      <c r="F161" s="78"/>
      <c r="G161" s="9" t="s">
        <v>3</v>
      </c>
      <c r="H161" s="41">
        <v>889.76</v>
      </c>
      <c r="I161" s="19">
        <v>624.46</v>
      </c>
      <c r="J161" s="19"/>
      <c r="K161" s="41"/>
      <c r="L161" s="41">
        <v>1230.95</v>
      </c>
      <c r="M161" s="41">
        <v>489.46</v>
      </c>
      <c r="N161" s="41">
        <f aca="true" t="shared" si="28" ref="N161:N172">I161*0.05</f>
        <v>31.223000000000003</v>
      </c>
      <c r="O161" s="68">
        <f t="shared" si="22"/>
        <v>296.97</v>
      </c>
      <c r="P161" s="107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>
        <v>296.97</v>
      </c>
      <c r="AP161" s="39"/>
      <c r="AQ161" s="39"/>
      <c r="AR161" s="39"/>
      <c r="AS161" s="39"/>
      <c r="AT161" s="39"/>
      <c r="AU161" s="39"/>
      <c r="AV161" s="39"/>
      <c r="AW161" s="39"/>
      <c r="AX161" s="39"/>
      <c r="AY161" s="131"/>
    </row>
    <row r="162" spans="2:51" ht="12.75">
      <c r="B162" s="120">
        <v>13</v>
      </c>
      <c r="C162" s="37"/>
      <c r="D162" s="33"/>
      <c r="E162" s="90"/>
      <c r="F162" s="79"/>
      <c r="G162" s="8" t="s">
        <v>4</v>
      </c>
      <c r="H162" s="42">
        <v>889.76</v>
      </c>
      <c r="I162" s="20">
        <v>475.75</v>
      </c>
      <c r="J162" s="20"/>
      <c r="K162" s="42"/>
      <c r="L162" s="42"/>
      <c r="M162" s="42"/>
      <c r="N162" s="41">
        <f t="shared" si="28"/>
        <v>23.7875</v>
      </c>
      <c r="O162" s="68">
        <f t="shared" si="22"/>
        <v>0</v>
      </c>
      <c r="P162" s="95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57"/>
    </row>
    <row r="163" spans="2:51" ht="12.75">
      <c r="B163" s="120">
        <v>13</v>
      </c>
      <c r="C163" s="37"/>
      <c r="D163" s="33"/>
      <c r="E163" s="88"/>
      <c r="F163" s="79"/>
      <c r="G163" s="8" t="s">
        <v>5</v>
      </c>
      <c r="H163" s="42">
        <v>889.76</v>
      </c>
      <c r="I163" s="20">
        <v>926.64</v>
      </c>
      <c r="J163" s="20"/>
      <c r="K163" s="42"/>
      <c r="L163" s="42"/>
      <c r="M163" s="42"/>
      <c r="N163" s="41">
        <f t="shared" si="28"/>
        <v>46.332</v>
      </c>
      <c r="O163" s="68">
        <f t="shared" si="22"/>
        <v>0</v>
      </c>
      <c r="P163" s="9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57"/>
    </row>
    <row r="164" spans="2:51" ht="12.75">
      <c r="B164" s="120">
        <v>13</v>
      </c>
      <c r="C164" s="37"/>
      <c r="D164" s="33"/>
      <c r="E164" s="88"/>
      <c r="F164" s="79"/>
      <c r="G164" s="8" t="s">
        <v>6</v>
      </c>
      <c r="H164" s="42">
        <v>889.76</v>
      </c>
      <c r="I164" s="20">
        <v>1004.89</v>
      </c>
      <c r="J164" s="20"/>
      <c r="K164" s="42"/>
      <c r="L164" s="42"/>
      <c r="M164" s="42"/>
      <c r="N164" s="41">
        <f t="shared" si="28"/>
        <v>50.2445</v>
      </c>
      <c r="O164" s="68">
        <f t="shared" si="22"/>
        <v>0</v>
      </c>
      <c r="P164" s="9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57"/>
    </row>
    <row r="165" spans="2:51" ht="12.75">
      <c r="B165" s="120">
        <v>13</v>
      </c>
      <c r="C165" s="37"/>
      <c r="D165" s="33"/>
      <c r="E165" s="88"/>
      <c r="F165" s="79"/>
      <c r="G165" s="8" t="s">
        <v>7</v>
      </c>
      <c r="H165" s="42">
        <v>889.76</v>
      </c>
      <c r="I165" s="20">
        <v>1037.56</v>
      </c>
      <c r="J165" s="20"/>
      <c r="K165" s="42"/>
      <c r="L165" s="42"/>
      <c r="M165" s="42"/>
      <c r="N165" s="41">
        <f t="shared" si="28"/>
        <v>51.878</v>
      </c>
      <c r="O165" s="68">
        <f t="shared" si="22"/>
        <v>2000</v>
      </c>
      <c r="P165" s="9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>
        <v>2000</v>
      </c>
      <c r="AP165" s="48"/>
      <c r="AQ165" s="48"/>
      <c r="AR165" s="48"/>
      <c r="AS165" s="48"/>
      <c r="AT165" s="48"/>
      <c r="AU165" s="48"/>
      <c r="AV165" s="48"/>
      <c r="AW165" s="48"/>
      <c r="AX165" s="48"/>
      <c r="AY165" s="57"/>
    </row>
    <row r="166" spans="2:51" ht="12.75">
      <c r="B166" s="120">
        <v>13</v>
      </c>
      <c r="C166" s="37"/>
      <c r="D166" s="33"/>
      <c r="E166" s="88"/>
      <c r="F166" s="79"/>
      <c r="G166" s="8" t="s">
        <v>8</v>
      </c>
      <c r="H166" s="42">
        <v>4830.57</v>
      </c>
      <c r="I166" s="20">
        <v>318.66</v>
      </c>
      <c r="J166" s="20"/>
      <c r="K166" s="42"/>
      <c r="L166" s="42"/>
      <c r="M166" s="42"/>
      <c r="N166" s="41">
        <f t="shared" si="28"/>
        <v>15.933000000000002</v>
      </c>
      <c r="O166" s="68">
        <f t="shared" si="22"/>
        <v>0</v>
      </c>
      <c r="P166" s="176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57"/>
    </row>
    <row r="167" spans="2:51" ht="12.75">
      <c r="B167" s="120">
        <v>13</v>
      </c>
      <c r="C167" s="37"/>
      <c r="D167" s="33"/>
      <c r="E167" s="88"/>
      <c r="F167" s="79"/>
      <c r="G167" s="8" t="s">
        <v>9</v>
      </c>
      <c r="H167" s="42">
        <v>1303.31</v>
      </c>
      <c r="I167" s="20">
        <v>4784.93</v>
      </c>
      <c r="J167" s="20"/>
      <c r="K167" s="42"/>
      <c r="L167" s="42"/>
      <c r="M167" s="42"/>
      <c r="N167" s="41">
        <f t="shared" si="28"/>
        <v>239.24650000000003</v>
      </c>
      <c r="O167" s="68">
        <f t="shared" si="22"/>
        <v>2000</v>
      </c>
      <c r="P167" s="9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>
        <v>2000</v>
      </c>
      <c r="AP167" s="48"/>
      <c r="AQ167" s="48"/>
      <c r="AR167" s="48"/>
      <c r="AS167" s="48"/>
      <c r="AT167" s="48"/>
      <c r="AU167" s="48"/>
      <c r="AV167" s="48"/>
      <c r="AW167" s="48"/>
      <c r="AX167" s="48"/>
      <c r="AY167" s="57"/>
    </row>
    <row r="168" spans="2:51" ht="12.75">
      <c r="B168" s="120">
        <v>13</v>
      </c>
      <c r="C168" s="37"/>
      <c r="D168" s="33"/>
      <c r="E168" s="88"/>
      <c r="F168" s="79"/>
      <c r="G168" s="8" t="s">
        <v>10</v>
      </c>
      <c r="H168" s="42">
        <v>5268.56</v>
      </c>
      <c r="I168" s="20">
        <v>1097.12</v>
      </c>
      <c r="J168" s="20"/>
      <c r="K168" s="42"/>
      <c r="L168" s="42"/>
      <c r="M168" s="42"/>
      <c r="N168" s="41">
        <f t="shared" si="28"/>
        <v>54.855999999999995</v>
      </c>
      <c r="O168" s="68">
        <f t="shared" si="22"/>
        <v>0</v>
      </c>
      <c r="P168" s="94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57"/>
    </row>
    <row r="169" spans="2:51" ht="12.75">
      <c r="B169" s="120">
        <v>13</v>
      </c>
      <c r="C169" s="37"/>
      <c r="D169" s="33"/>
      <c r="E169" s="88"/>
      <c r="F169" s="79"/>
      <c r="G169" s="8" t="s">
        <v>11</v>
      </c>
      <c r="H169" s="42">
        <v>-2606.62</v>
      </c>
      <c r="I169" s="20">
        <v>4840.17</v>
      </c>
      <c r="J169" s="20"/>
      <c r="K169" s="42"/>
      <c r="L169" s="42"/>
      <c r="M169" s="42"/>
      <c r="N169" s="41">
        <f t="shared" si="28"/>
        <v>242.00850000000003</v>
      </c>
      <c r="O169" s="68">
        <f t="shared" si="22"/>
        <v>0</v>
      </c>
      <c r="P169" s="176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57"/>
    </row>
    <row r="170" spans="2:51" ht="12.75">
      <c r="B170" s="120">
        <v>13</v>
      </c>
      <c r="C170" s="37"/>
      <c r="D170" s="33"/>
      <c r="E170" s="88"/>
      <c r="F170" s="79"/>
      <c r="G170" s="8" t="s">
        <v>12</v>
      </c>
      <c r="H170" s="42">
        <v>0</v>
      </c>
      <c r="I170" s="20">
        <v>175.2</v>
      </c>
      <c r="J170" s="20"/>
      <c r="K170" s="42"/>
      <c r="L170" s="42"/>
      <c r="M170" s="42"/>
      <c r="N170" s="41">
        <f t="shared" si="28"/>
        <v>8.76</v>
      </c>
      <c r="O170" s="68">
        <f t="shared" si="22"/>
        <v>23328</v>
      </c>
      <c r="P170" s="9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>
        <v>23328</v>
      </c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57"/>
    </row>
    <row r="171" spans="2:51" ht="12.75">
      <c r="B171" s="120">
        <v>13</v>
      </c>
      <c r="C171" s="37"/>
      <c r="D171" s="33"/>
      <c r="E171" s="88"/>
      <c r="F171" s="79"/>
      <c r="G171" s="8" t="s">
        <v>13</v>
      </c>
      <c r="H171" s="42">
        <v>0</v>
      </c>
      <c r="I171" s="20">
        <v>0</v>
      </c>
      <c r="J171" s="20"/>
      <c r="K171" s="42"/>
      <c r="L171" s="42"/>
      <c r="M171" s="42"/>
      <c r="N171" s="41">
        <f t="shared" si="28"/>
        <v>0</v>
      </c>
      <c r="O171" s="68">
        <f t="shared" si="22"/>
        <v>9128</v>
      </c>
      <c r="P171" s="9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>
        <v>9128</v>
      </c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57"/>
    </row>
    <row r="172" spans="2:51" ht="13.5" thickBot="1">
      <c r="B172" s="120">
        <v>13</v>
      </c>
      <c r="C172" s="38"/>
      <c r="D172" s="35"/>
      <c r="E172" s="125"/>
      <c r="F172" s="80"/>
      <c r="G172" s="12" t="s">
        <v>14</v>
      </c>
      <c r="H172" s="42">
        <v>0</v>
      </c>
      <c r="I172" s="21">
        <v>0</v>
      </c>
      <c r="J172" s="66"/>
      <c r="K172" s="42"/>
      <c r="L172" s="42"/>
      <c r="M172" s="42"/>
      <c r="N172" s="41">
        <f t="shared" si="28"/>
        <v>0</v>
      </c>
      <c r="O172" s="68">
        <f t="shared" si="22"/>
        <v>0</v>
      </c>
      <c r="P172" s="108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128">
        <f>AY160+(I160-K160-L160-M160-N160)+J160-O160</f>
        <v>-58506.629</v>
      </c>
    </row>
    <row r="173" spans="2:51" ht="14.25" thickBot="1" thickTop="1">
      <c r="B173" s="118">
        <v>14</v>
      </c>
      <c r="C173" s="59" t="s">
        <v>18</v>
      </c>
      <c r="D173" s="29">
        <v>87</v>
      </c>
      <c r="E173" s="141" t="s">
        <v>44</v>
      </c>
      <c r="F173" s="77">
        <v>2840.6</v>
      </c>
      <c r="G173" s="50"/>
      <c r="H173" s="69">
        <v>115475.39</v>
      </c>
      <c r="I173" s="70">
        <v>115000.63</v>
      </c>
      <c r="J173" s="70">
        <f>SUM(J174:J185)</f>
        <v>0</v>
      </c>
      <c r="K173" s="69">
        <f>SUM(K174:K185)</f>
        <v>0</v>
      </c>
      <c r="L173" s="69">
        <f>SUM(L174:L185)</f>
        <v>6097</v>
      </c>
      <c r="M173" s="69">
        <f>SUM(M174:M185)</f>
        <v>4178.62</v>
      </c>
      <c r="N173" s="69">
        <f>SUM(N174:N185)</f>
        <v>5750.0315</v>
      </c>
      <c r="O173" s="16">
        <f t="shared" si="22"/>
        <v>143829.05</v>
      </c>
      <c r="P173" s="99"/>
      <c r="Q173" s="11">
        <f aca="true" t="shared" si="29" ref="Q173:AX173">SUM(Q174:Q185)</f>
        <v>3503</v>
      </c>
      <c r="R173" s="11">
        <f t="shared" si="29"/>
        <v>94298</v>
      </c>
      <c r="S173" s="11">
        <f t="shared" si="29"/>
        <v>1697</v>
      </c>
      <c r="T173" s="11">
        <f t="shared" si="29"/>
        <v>0</v>
      </c>
      <c r="U173" s="11">
        <f t="shared" si="29"/>
        <v>0</v>
      </c>
      <c r="V173" s="11">
        <f t="shared" si="29"/>
        <v>37770</v>
      </c>
      <c r="W173" s="11">
        <f t="shared" si="29"/>
        <v>0</v>
      </c>
      <c r="X173" s="11">
        <f t="shared" si="29"/>
        <v>2015</v>
      </c>
      <c r="Y173" s="11">
        <f t="shared" si="29"/>
        <v>0</v>
      </c>
      <c r="Z173" s="11">
        <f t="shared" si="29"/>
        <v>0</v>
      </c>
      <c r="AA173" s="11">
        <f t="shared" si="29"/>
        <v>1100</v>
      </c>
      <c r="AB173" s="11">
        <f t="shared" si="29"/>
        <v>356</v>
      </c>
      <c r="AC173" s="11">
        <f t="shared" si="29"/>
        <v>0</v>
      </c>
      <c r="AD173" s="11">
        <f t="shared" si="29"/>
        <v>0</v>
      </c>
      <c r="AE173" s="11">
        <f t="shared" si="29"/>
        <v>0</v>
      </c>
      <c r="AF173" s="11">
        <f t="shared" si="29"/>
        <v>0</v>
      </c>
      <c r="AG173" s="11">
        <f t="shared" si="29"/>
        <v>0</v>
      </c>
      <c r="AH173" s="11">
        <f t="shared" si="29"/>
        <v>0</v>
      </c>
      <c r="AI173" s="11">
        <f t="shared" si="29"/>
        <v>0</v>
      </c>
      <c r="AJ173" s="11">
        <f t="shared" si="29"/>
        <v>0</v>
      </c>
      <c r="AK173" s="11">
        <f t="shared" si="29"/>
        <v>0</v>
      </c>
      <c r="AL173" s="11">
        <f t="shared" si="29"/>
        <v>0</v>
      </c>
      <c r="AM173" s="11">
        <f t="shared" si="29"/>
        <v>0</v>
      </c>
      <c r="AN173" s="11">
        <f t="shared" si="29"/>
        <v>0</v>
      </c>
      <c r="AO173" s="11">
        <f>SUM(AO174:AO185)</f>
        <v>0</v>
      </c>
      <c r="AP173" s="11">
        <f t="shared" si="29"/>
        <v>0</v>
      </c>
      <c r="AQ173" s="11">
        <f t="shared" si="29"/>
        <v>0</v>
      </c>
      <c r="AR173" s="11">
        <f t="shared" si="29"/>
        <v>0</v>
      </c>
      <c r="AS173" s="11">
        <f t="shared" si="29"/>
        <v>0</v>
      </c>
      <c r="AT173" s="11">
        <f t="shared" si="29"/>
        <v>0</v>
      </c>
      <c r="AU173" s="11">
        <f t="shared" si="29"/>
        <v>0</v>
      </c>
      <c r="AV173" s="11">
        <f t="shared" si="29"/>
        <v>0</v>
      </c>
      <c r="AW173" s="11">
        <f t="shared" si="29"/>
        <v>0</v>
      </c>
      <c r="AX173" s="11">
        <f t="shared" si="29"/>
        <v>3090.05</v>
      </c>
      <c r="AY173" s="127">
        <v>-145303.59</v>
      </c>
    </row>
    <row r="174" spans="2:51" ht="13.5" thickTop="1">
      <c r="B174" s="119">
        <v>14</v>
      </c>
      <c r="C174" s="36" t="s">
        <v>70</v>
      </c>
      <c r="D174" s="31"/>
      <c r="E174" s="90" t="s">
        <v>98</v>
      </c>
      <c r="F174" s="78"/>
      <c r="G174" s="9" t="s">
        <v>3</v>
      </c>
      <c r="H174" s="41">
        <v>7033.77</v>
      </c>
      <c r="I174" s="19">
        <v>5521.87</v>
      </c>
      <c r="J174" s="19"/>
      <c r="K174" s="41"/>
      <c r="L174" s="41">
        <v>6097</v>
      </c>
      <c r="M174" s="41">
        <v>4178.62</v>
      </c>
      <c r="N174" s="41">
        <f aca="true" t="shared" si="30" ref="N174:N185">I174*0.05</f>
        <v>276.0935</v>
      </c>
      <c r="O174" s="68">
        <f t="shared" si="22"/>
        <v>303</v>
      </c>
      <c r="P174" s="177"/>
      <c r="Q174" s="39"/>
      <c r="R174" s="39">
        <v>303</v>
      </c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131"/>
    </row>
    <row r="175" spans="2:51" ht="12.75">
      <c r="B175" s="119">
        <v>14</v>
      </c>
      <c r="C175" s="37"/>
      <c r="D175" s="33"/>
      <c r="E175" s="90"/>
      <c r="F175" s="79"/>
      <c r="G175" s="8" t="s">
        <v>4</v>
      </c>
      <c r="H175" s="42">
        <v>7033.77</v>
      </c>
      <c r="I175" s="20">
        <v>5324.71</v>
      </c>
      <c r="J175" s="20"/>
      <c r="K175" s="42"/>
      <c r="L175" s="42"/>
      <c r="M175" s="42"/>
      <c r="N175" s="41">
        <f t="shared" si="30"/>
        <v>266.2355</v>
      </c>
      <c r="O175" s="68">
        <f t="shared" si="22"/>
        <v>4019.05</v>
      </c>
      <c r="P175" s="95" t="s">
        <v>190</v>
      </c>
      <c r="Q175" s="48">
        <v>626</v>
      </c>
      <c r="R175" s="48">
        <v>303</v>
      </c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>
        <v>3090.05</v>
      </c>
      <c r="AY175" s="57"/>
    </row>
    <row r="176" spans="2:51" ht="12.75">
      <c r="B176" s="119">
        <v>14</v>
      </c>
      <c r="C176" s="37"/>
      <c r="D176" s="33"/>
      <c r="E176" s="88"/>
      <c r="F176" s="79"/>
      <c r="G176" s="8" t="s">
        <v>5</v>
      </c>
      <c r="H176" s="42">
        <v>7033.77</v>
      </c>
      <c r="I176" s="20">
        <v>7320.39</v>
      </c>
      <c r="J176" s="20"/>
      <c r="K176" s="42"/>
      <c r="L176" s="42"/>
      <c r="M176" s="42"/>
      <c r="N176" s="41">
        <f t="shared" si="30"/>
        <v>366.01950000000005</v>
      </c>
      <c r="O176" s="68">
        <f t="shared" si="22"/>
        <v>14072</v>
      </c>
      <c r="P176" s="98" t="s">
        <v>169</v>
      </c>
      <c r="Q176" s="48"/>
      <c r="R176" s="48"/>
      <c r="S176" s="48"/>
      <c r="T176" s="48"/>
      <c r="U176" s="48"/>
      <c r="V176" s="48">
        <v>13954</v>
      </c>
      <c r="W176" s="48"/>
      <c r="X176" s="48"/>
      <c r="Y176" s="48"/>
      <c r="Z176" s="48"/>
      <c r="AA176" s="48"/>
      <c r="AB176" s="48">
        <v>118</v>
      </c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57"/>
    </row>
    <row r="177" spans="2:51" ht="12.75">
      <c r="B177" s="119">
        <v>14</v>
      </c>
      <c r="C177" s="37"/>
      <c r="D177" s="33"/>
      <c r="E177" s="88"/>
      <c r="F177" s="79"/>
      <c r="G177" s="8" t="s">
        <v>6</v>
      </c>
      <c r="H177" s="42">
        <v>7033.77</v>
      </c>
      <c r="I177" s="20">
        <v>6833.76</v>
      </c>
      <c r="J177" s="20"/>
      <c r="K177" s="42"/>
      <c r="L177" s="42"/>
      <c r="M177" s="42"/>
      <c r="N177" s="41">
        <f t="shared" si="30"/>
        <v>341.68800000000005</v>
      </c>
      <c r="O177" s="68">
        <f t="shared" si="22"/>
        <v>17534</v>
      </c>
      <c r="P177" s="176"/>
      <c r="Q177" s="48"/>
      <c r="R177" s="48"/>
      <c r="S177" s="48"/>
      <c r="T177" s="48"/>
      <c r="U177" s="48"/>
      <c r="V177" s="48">
        <v>17534</v>
      </c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57"/>
    </row>
    <row r="178" spans="2:51" ht="12.75">
      <c r="B178" s="119">
        <v>14</v>
      </c>
      <c r="C178" s="37"/>
      <c r="D178" s="33"/>
      <c r="E178" s="88"/>
      <c r="F178" s="79"/>
      <c r="G178" s="8" t="s">
        <v>7</v>
      </c>
      <c r="H178" s="42">
        <v>6931.64</v>
      </c>
      <c r="I178" s="20">
        <v>8018.53</v>
      </c>
      <c r="J178" s="20"/>
      <c r="K178" s="42"/>
      <c r="L178" s="42"/>
      <c r="M178" s="42"/>
      <c r="N178" s="41">
        <f t="shared" si="30"/>
        <v>400.92650000000003</v>
      </c>
      <c r="O178" s="68">
        <f t="shared" si="22"/>
        <v>2253</v>
      </c>
      <c r="P178" s="176"/>
      <c r="Q178" s="48"/>
      <c r="R178" s="48"/>
      <c r="S178" s="48"/>
      <c r="T178" s="48"/>
      <c r="U178" s="48"/>
      <c r="V178" s="48"/>
      <c r="W178" s="48"/>
      <c r="X178" s="48">
        <v>2015</v>
      </c>
      <c r="Y178" s="48"/>
      <c r="Z178" s="48"/>
      <c r="AA178" s="48"/>
      <c r="AB178" s="48">
        <v>238</v>
      </c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57"/>
    </row>
    <row r="179" spans="2:51" ht="12.75">
      <c r="B179" s="119">
        <v>14</v>
      </c>
      <c r="C179" s="37"/>
      <c r="D179" s="33"/>
      <c r="E179" s="88"/>
      <c r="F179" s="79"/>
      <c r="G179" s="8" t="s">
        <v>8</v>
      </c>
      <c r="H179" s="42">
        <v>7029.45</v>
      </c>
      <c r="I179" s="20">
        <v>5507.28</v>
      </c>
      <c r="J179" s="20"/>
      <c r="K179" s="42"/>
      <c r="L179" s="42"/>
      <c r="M179" s="42"/>
      <c r="N179" s="41">
        <f t="shared" si="30"/>
        <v>275.364</v>
      </c>
      <c r="O179" s="68">
        <f t="shared" si="22"/>
        <v>6282</v>
      </c>
      <c r="P179" s="98"/>
      <c r="Q179" s="48"/>
      <c r="R179" s="48"/>
      <c r="S179" s="48"/>
      <c r="T179" s="48"/>
      <c r="U179" s="48"/>
      <c r="V179" s="48">
        <v>6282</v>
      </c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57"/>
    </row>
    <row r="180" spans="2:51" ht="12.75">
      <c r="B180" s="119">
        <v>14</v>
      </c>
      <c r="C180" s="37"/>
      <c r="D180" s="33"/>
      <c r="E180" s="88"/>
      <c r="F180" s="79"/>
      <c r="G180" s="8" t="s">
        <v>9</v>
      </c>
      <c r="H180" s="42">
        <v>7887.49</v>
      </c>
      <c r="I180" s="20">
        <v>9613.68</v>
      </c>
      <c r="J180" s="20"/>
      <c r="K180" s="42"/>
      <c r="L180" s="42"/>
      <c r="M180" s="42"/>
      <c r="N180" s="41">
        <f t="shared" si="30"/>
        <v>480.684</v>
      </c>
      <c r="O180" s="68">
        <f t="shared" si="22"/>
        <v>1697</v>
      </c>
      <c r="P180" s="98" t="s">
        <v>214</v>
      </c>
      <c r="Q180" s="48"/>
      <c r="R180" s="48"/>
      <c r="S180" s="48">
        <v>1697</v>
      </c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57"/>
    </row>
    <row r="181" spans="2:51" ht="12.75">
      <c r="B181" s="119">
        <v>14</v>
      </c>
      <c r="C181" s="37"/>
      <c r="D181" s="33"/>
      <c r="E181" s="88"/>
      <c r="F181" s="79"/>
      <c r="G181" s="8" t="s">
        <v>10</v>
      </c>
      <c r="H181" s="42">
        <v>7887.49</v>
      </c>
      <c r="I181" s="20">
        <v>8937.5</v>
      </c>
      <c r="J181" s="20"/>
      <c r="K181" s="42"/>
      <c r="L181" s="42"/>
      <c r="M181" s="42"/>
      <c r="N181" s="41">
        <f t="shared" si="30"/>
        <v>446.875</v>
      </c>
      <c r="O181" s="68">
        <f t="shared" si="22"/>
        <v>2877</v>
      </c>
      <c r="P181" s="94" t="s">
        <v>306</v>
      </c>
      <c r="Q181" s="48">
        <v>2877</v>
      </c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57"/>
    </row>
    <row r="182" spans="2:51" ht="12.75">
      <c r="B182" s="119">
        <v>14</v>
      </c>
      <c r="C182" s="37"/>
      <c r="D182" s="33"/>
      <c r="E182" s="88"/>
      <c r="F182" s="79"/>
      <c r="G182" s="8" t="s">
        <v>11</v>
      </c>
      <c r="H182" s="42">
        <v>7887.49</v>
      </c>
      <c r="I182" s="20">
        <v>9927.84</v>
      </c>
      <c r="J182" s="20"/>
      <c r="K182" s="42"/>
      <c r="L182" s="42"/>
      <c r="M182" s="42"/>
      <c r="N182" s="41">
        <f t="shared" si="30"/>
        <v>496.39200000000005</v>
      </c>
      <c r="O182" s="68">
        <f t="shared" si="22"/>
        <v>0</v>
      </c>
      <c r="P182" s="176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57"/>
    </row>
    <row r="183" spans="2:51" ht="12.75">
      <c r="B183" s="119">
        <v>14</v>
      </c>
      <c r="C183" s="37"/>
      <c r="D183" s="33"/>
      <c r="E183" s="88"/>
      <c r="F183" s="79"/>
      <c r="G183" s="8" t="s">
        <v>12</v>
      </c>
      <c r="H183" s="42">
        <v>16174.65</v>
      </c>
      <c r="I183" s="20">
        <v>14337.14</v>
      </c>
      <c r="J183" s="20"/>
      <c r="K183" s="42"/>
      <c r="L183" s="42"/>
      <c r="M183" s="42"/>
      <c r="N183" s="41">
        <f t="shared" si="30"/>
        <v>716.857</v>
      </c>
      <c r="O183" s="68">
        <f t="shared" si="22"/>
        <v>0</v>
      </c>
      <c r="P183" s="9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57"/>
    </row>
    <row r="184" spans="2:51" ht="12.75">
      <c r="B184" s="119">
        <v>14</v>
      </c>
      <c r="C184" s="37"/>
      <c r="D184" s="33"/>
      <c r="E184" s="88"/>
      <c r="F184" s="79"/>
      <c r="G184" s="8" t="s">
        <v>13</v>
      </c>
      <c r="H184" s="42">
        <v>16771.05</v>
      </c>
      <c r="I184" s="20">
        <v>12982.68</v>
      </c>
      <c r="J184" s="20"/>
      <c r="K184" s="42"/>
      <c r="L184" s="42"/>
      <c r="M184" s="42"/>
      <c r="N184" s="41">
        <f t="shared" si="30"/>
        <v>649.134</v>
      </c>
      <c r="O184" s="68">
        <f t="shared" si="22"/>
        <v>93749</v>
      </c>
      <c r="P184" s="98" t="s">
        <v>305</v>
      </c>
      <c r="Q184" s="48"/>
      <c r="R184" s="48">
        <v>92649</v>
      </c>
      <c r="S184" s="48"/>
      <c r="T184" s="48"/>
      <c r="U184" s="48"/>
      <c r="V184" s="48"/>
      <c r="W184" s="48"/>
      <c r="X184" s="48"/>
      <c r="Y184" s="48"/>
      <c r="Z184" s="48"/>
      <c r="AA184" s="48">
        <v>1100</v>
      </c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57"/>
    </row>
    <row r="185" spans="2:51" ht="13.5" thickBot="1">
      <c r="B185" s="119">
        <v>14</v>
      </c>
      <c r="C185" s="38"/>
      <c r="D185" s="35"/>
      <c r="E185" s="125"/>
      <c r="F185" s="80"/>
      <c r="G185" s="12" t="s">
        <v>14</v>
      </c>
      <c r="H185" s="42">
        <v>16771.05</v>
      </c>
      <c r="I185" s="21">
        <v>20675.25</v>
      </c>
      <c r="J185" s="66"/>
      <c r="K185" s="42"/>
      <c r="L185" s="42"/>
      <c r="M185" s="42"/>
      <c r="N185" s="41">
        <f t="shared" si="30"/>
        <v>1033.7625</v>
      </c>
      <c r="O185" s="68">
        <f t="shared" si="22"/>
        <v>1043</v>
      </c>
      <c r="P185" s="108" t="s">
        <v>379</v>
      </c>
      <c r="Q185" s="49"/>
      <c r="R185" s="49">
        <v>1043</v>
      </c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128">
        <f>AY173+(I173-K173-L173-M173-N173)+J173-O173</f>
        <v>-190157.6615</v>
      </c>
    </row>
    <row r="186" spans="2:51" ht="14.25" thickBot="1" thickTop="1">
      <c r="B186" s="118">
        <v>15</v>
      </c>
      <c r="C186" s="59" t="s">
        <v>18</v>
      </c>
      <c r="D186" s="29" t="s">
        <v>40</v>
      </c>
      <c r="E186" s="141" t="s">
        <v>50</v>
      </c>
      <c r="F186" s="77">
        <v>2468.2</v>
      </c>
      <c r="G186" s="50"/>
      <c r="H186" s="69">
        <v>98368.51999999999</v>
      </c>
      <c r="I186" s="70">
        <v>94800.4</v>
      </c>
      <c r="J186" s="70">
        <f>SUM(J187:J198)</f>
        <v>0</v>
      </c>
      <c r="K186" s="69">
        <f>SUM(K187:K198)</f>
        <v>0</v>
      </c>
      <c r="L186" s="69">
        <f>SUM(L187:L198)</f>
        <v>7540.63</v>
      </c>
      <c r="M186" s="69">
        <f>SUM(M187:M198)</f>
        <v>4177.3</v>
      </c>
      <c r="N186" s="69">
        <f>SUM(N187:N198)</f>
        <v>4740.02</v>
      </c>
      <c r="O186" s="16">
        <f t="shared" si="22"/>
        <v>177123.05</v>
      </c>
      <c r="P186" s="99"/>
      <c r="Q186" s="11">
        <f aca="true" t="shared" si="31" ref="Q186:AX186">SUM(Q187:Q198)</f>
        <v>162654</v>
      </c>
      <c r="R186" s="11">
        <f t="shared" si="31"/>
        <v>1554</v>
      </c>
      <c r="S186" s="11">
        <f t="shared" si="31"/>
        <v>3574</v>
      </c>
      <c r="T186" s="11">
        <f t="shared" si="31"/>
        <v>0</v>
      </c>
      <c r="U186" s="11">
        <f t="shared" si="31"/>
        <v>0</v>
      </c>
      <c r="V186" s="11">
        <f t="shared" si="31"/>
        <v>0</v>
      </c>
      <c r="W186" s="11">
        <f t="shared" si="31"/>
        <v>0</v>
      </c>
      <c r="X186" s="11">
        <f t="shared" si="31"/>
        <v>0</v>
      </c>
      <c r="Y186" s="11">
        <f t="shared" si="31"/>
        <v>0</v>
      </c>
      <c r="Z186" s="11">
        <f t="shared" si="31"/>
        <v>0</v>
      </c>
      <c r="AA186" s="11">
        <f t="shared" si="31"/>
        <v>0</v>
      </c>
      <c r="AB186" s="11">
        <f t="shared" si="31"/>
        <v>0</v>
      </c>
      <c r="AC186" s="11">
        <f t="shared" si="31"/>
        <v>0</v>
      </c>
      <c r="AD186" s="11">
        <f t="shared" si="31"/>
        <v>5778</v>
      </c>
      <c r="AE186" s="11">
        <f t="shared" si="31"/>
        <v>0</v>
      </c>
      <c r="AF186" s="11">
        <f t="shared" si="31"/>
        <v>202</v>
      </c>
      <c r="AG186" s="11">
        <f t="shared" si="31"/>
        <v>271</v>
      </c>
      <c r="AH186" s="11">
        <f t="shared" si="31"/>
        <v>0</v>
      </c>
      <c r="AI186" s="11">
        <f t="shared" si="31"/>
        <v>0</v>
      </c>
      <c r="AJ186" s="11">
        <f t="shared" si="31"/>
        <v>0</v>
      </c>
      <c r="AK186" s="11">
        <f t="shared" si="31"/>
        <v>0</v>
      </c>
      <c r="AL186" s="11">
        <f t="shared" si="31"/>
        <v>0</v>
      </c>
      <c r="AM186" s="11">
        <f t="shared" si="31"/>
        <v>0</v>
      </c>
      <c r="AN186" s="11">
        <f t="shared" si="31"/>
        <v>0</v>
      </c>
      <c r="AO186" s="11">
        <f>SUM(AO187:AO198)</f>
        <v>0</v>
      </c>
      <c r="AP186" s="11">
        <f t="shared" si="31"/>
        <v>0</v>
      </c>
      <c r="AQ186" s="11">
        <f t="shared" si="31"/>
        <v>0</v>
      </c>
      <c r="AR186" s="11">
        <f t="shared" si="31"/>
        <v>0</v>
      </c>
      <c r="AS186" s="11">
        <f t="shared" si="31"/>
        <v>0</v>
      </c>
      <c r="AT186" s="11">
        <f t="shared" si="31"/>
        <v>0</v>
      </c>
      <c r="AU186" s="11">
        <f t="shared" si="31"/>
        <v>0</v>
      </c>
      <c r="AV186" s="11">
        <f t="shared" si="31"/>
        <v>0</v>
      </c>
      <c r="AW186" s="11">
        <f t="shared" si="31"/>
        <v>0</v>
      </c>
      <c r="AX186" s="11">
        <f t="shared" si="31"/>
        <v>3090.05</v>
      </c>
      <c r="AY186" s="127">
        <v>-41748.07</v>
      </c>
    </row>
    <row r="187" spans="2:51" ht="13.5" thickTop="1">
      <c r="B187" s="119">
        <v>15</v>
      </c>
      <c r="C187" s="36" t="s">
        <v>70</v>
      </c>
      <c r="D187" s="31"/>
      <c r="E187" s="184" t="s">
        <v>140</v>
      </c>
      <c r="F187" s="78"/>
      <c r="G187" s="9" t="s">
        <v>3</v>
      </c>
      <c r="H187" s="41">
        <v>6268.74</v>
      </c>
      <c r="I187" s="19">
        <v>4921.79</v>
      </c>
      <c r="J187" s="19"/>
      <c r="K187" s="41"/>
      <c r="L187" s="41">
        <v>7540.63</v>
      </c>
      <c r="M187" s="41">
        <v>4177.3</v>
      </c>
      <c r="N187" s="41">
        <f aca="true" t="shared" si="32" ref="N187:N198">I187*0.05</f>
        <v>246.08950000000002</v>
      </c>
      <c r="O187" s="68">
        <f t="shared" si="22"/>
        <v>0</v>
      </c>
      <c r="P187" s="107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131"/>
    </row>
    <row r="188" spans="2:51" ht="12.75">
      <c r="B188" s="119">
        <v>15</v>
      </c>
      <c r="C188" s="37"/>
      <c r="D188" s="33"/>
      <c r="E188" s="90"/>
      <c r="F188" s="79"/>
      <c r="G188" s="8" t="s">
        <v>4</v>
      </c>
      <c r="H188" s="42">
        <v>6268.74</v>
      </c>
      <c r="I188" s="20">
        <v>6156.19</v>
      </c>
      <c r="J188" s="20"/>
      <c r="K188" s="42"/>
      <c r="L188" s="42"/>
      <c r="M188" s="42"/>
      <c r="N188" s="41">
        <f t="shared" si="32"/>
        <v>307.8095</v>
      </c>
      <c r="O188" s="68">
        <f t="shared" si="22"/>
        <v>1185</v>
      </c>
      <c r="P188" s="95" t="s">
        <v>191</v>
      </c>
      <c r="Q188" s="48"/>
      <c r="R188" s="48">
        <v>457</v>
      </c>
      <c r="S188" s="48">
        <v>728</v>
      </c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57"/>
    </row>
    <row r="189" spans="2:51" ht="12.75">
      <c r="B189" s="119">
        <v>15</v>
      </c>
      <c r="C189" s="37"/>
      <c r="D189" s="33"/>
      <c r="E189" s="88"/>
      <c r="F189" s="79"/>
      <c r="G189" s="8" t="s">
        <v>5</v>
      </c>
      <c r="H189" s="42">
        <v>6268.74</v>
      </c>
      <c r="I189" s="20">
        <v>5105.21</v>
      </c>
      <c r="J189" s="20"/>
      <c r="K189" s="42"/>
      <c r="L189" s="42"/>
      <c r="M189" s="42"/>
      <c r="N189" s="41">
        <f t="shared" si="32"/>
        <v>255.2605</v>
      </c>
      <c r="O189" s="68">
        <f t="shared" si="22"/>
        <v>0</v>
      </c>
      <c r="P189" s="9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57"/>
    </row>
    <row r="190" spans="2:51" ht="12.75">
      <c r="B190" s="119">
        <v>15</v>
      </c>
      <c r="C190" s="37"/>
      <c r="D190" s="33"/>
      <c r="E190" s="88"/>
      <c r="F190" s="79"/>
      <c r="G190" s="8" t="s">
        <v>6</v>
      </c>
      <c r="H190" s="42">
        <v>6269.25</v>
      </c>
      <c r="I190" s="20">
        <v>6180.25</v>
      </c>
      <c r="J190" s="20"/>
      <c r="K190" s="42"/>
      <c r="L190" s="42"/>
      <c r="M190" s="42"/>
      <c r="N190" s="41">
        <f t="shared" si="32"/>
        <v>309.01250000000005</v>
      </c>
      <c r="O190" s="68">
        <f t="shared" si="22"/>
        <v>0</v>
      </c>
      <c r="P190" s="9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57"/>
    </row>
    <row r="191" spans="2:51" ht="12.75">
      <c r="B191" s="119">
        <v>15</v>
      </c>
      <c r="C191" s="37"/>
      <c r="D191" s="33"/>
      <c r="E191" s="88"/>
      <c r="F191" s="79"/>
      <c r="G191" s="8" t="s">
        <v>7</v>
      </c>
      <c r="H191" s="42">
        <v>6269.25</v>
      </c>
      <c r="I191" s="20">
        <v>6565.55</v>
      </c>
      <c r="J191" s="20"/>
      <c r="K191" s="42"/>
      <c r="L191" s="42"/>
      <c r="M191" s="42"/>
      <c r="N191" s="41">
        <f t="shared" si="32"/>
        <v>328.27750000000003</v>
      </c>
      <c r="O191" s="68">
        <f t="shared" si="22"/>
        <v>1766</v>
      </c>
      <c r="P191" s="98" t="s">
        <v>247</v>
      </c>
      <c r="Q191" s="48"/>
      <c r="R191" s="48"/>
      <c r="S191" s="48">
        <v>1766</v>
      </c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57"/>
    </row>
    <row r="192" spans="2:51" ht="12.75">
      <c r="B192" s="119">
        <v>15</v>
      </c>
      <c r="C192" s="37"/>
      <c r="D192" s="33"/>
      <c r="E192" s="88"/>
      <c r="F192" s="79"/>
      <c r="G192" s="8" t="s">
        <v>8</v>
      </c>
      <c r="H192" s="42">
        <v>6266.71</v>
      </c>
      <c r="I192" s="20">
        <v>4243.36</v>
      </c>
      <c r="J192" s="20"/>
      <c r="K192" s="42"/>
      <c r="L192" s="42"/>
      <c r="M192" s="42"/>
      <c r="N192" s="41">
        <f t="shared" si="32"/>
        <v>212.168</v>
      </c>
      <c r="O192" s="68">
        <f t="shared" si="22"/>
        <v>3090.05</v>
      </c>
      <c r="P192" s="176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>
        <v>3090.05</v>
      </c>
      <c r="AY192" s="57"/>
    </row>
    <row r="193" spans="2:51" ht="12.75">
      <c r="B193" s="119">
        <v>15</v>
      </c>
      <c r="C193" s="37"/>
      <c r="D193" s="33"/>
      <c r="E193" s="88"/>
      <c r="F193" s="79"/>
      <c r="G193" s="8" t="s">
        <v>9</v>
      </c>
      <c r="H193" s="42">
        <v>7031.68</v>
      </c>
      <c r="I193" s="20">
        <v>7611.68</v>
      </c>
      <c r="J193" s="20"/>
      <c r="K193" s="42"/>
      <c r="L193" s="42"/>
      <c r="M193" s="42"/>
      <c r="N193" s="41">
        <f t="shared" si="32"/>
        <v>380.58400000000006</v>
      </c>
      <c r="O193" s="68">
        <f t="shared" si="22"/>
        <v>0</v>
      </c>
      <c r="P193" s="9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57"/>
    </row>
    <row r="194" spans="2:51" ht="12.75">
      <c r="B194" s="119">
        <v>15</v>
      </c>
      <c r="C194" s="37"/>
      <c r="D194" s="33"/>
      <c r="E194" s="88"/>
      <c r="F194" s="79"/>
      <c r="G194" s="8" t="s">
        <v>10</v>
      </c>
      <c r="H194" s="42">
        <v>7031.68</v>
      </c>
      <c r="I194" s="20">
        <v>6004.3</v>
      </c>
      <c r="J194" s="20"/>
      <c r="K194" s="42"/>
      <c r="L194" s="42"/>
      <c r="M194" s="42"/>
      <c r="N194" s="41">
        <f t="shared" si="32"/>
        <v>300.21500000000003</v>
      </c>
      <c r="O194" s="68">
        <f t="shared" si="22"/>
        <v>0</v>
      </c>
      <c r="P194" s="176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57"/>
    </row>
    <row r="195" spans="2:51" ht="12.75">
      <c r="B195" s="119">
        <v>15</v>
      </c>
      <c r="C195" s="37"/>
      <c r="D195" s="33"/>
      <c r="E195" s="88"/>
      <c r="F195" s="79"/>
      <c r="G195" s="8" t="s">
        <v>11</v>
      </c>
      <c r="H195" s="42">
        <v>7031.68</v>
      </c>
      <c r="I195" s="20">
        <v>9069.17</v>
      </c>
      <c r="J195" s="20"/>
      <c r="K195" s="42"/>
      <c r="L195" s="42"/>
      <c r="M195" s="42"/>
      <c r="N195" s="41">
        <f t="shared" si="32"/>
        <v>453.4585</v>
      </c>
      <c r="O195" s="68">
        <f t="shared" si="22"/>
        <v>162769</v>
      </c>
      <c r="P195" s="98" t="s">
        <v>312</v>
      </c>
      <c r="Q195" s="48">
        <v>162567</v>
      </c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>
        <v>202</v>
      </c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57"/>
    </row>
    <row r="196" spans="2:51" ht="12.75">
      <c r="B196" s="119">
        <v>15</v>
      </c>
      <c r="C196" s="37"/>
      <c r="D196" s="33"/>
      <c r="E196" s="88"/>
      <c r="F196" s="79"/>
      <c r="G196" s="8" t="s">
        <v>12</v>
      </c>
      <c r="H196" s="42">
        <v>14951.21</v>
      </c>
      <c r="I196" s="20">
        <v>8530.38</v>
      </c>
      <c r="J196" s="20"/>
      <c r="K196" s="42"/>
      <c r="L196" s="42"/>
      <c r="M196" s="42"/>
      <c r="N196" s="41">
        <f t="shared" si="32"/>
        <v>426.519</v>
      </c>
      <c r="O196" s="68">
        <f aca="true" t="shared" si="33" ref="O196:O259">SUM(Q196:AX196)</f>
        <v>0</v>
      </c>
      <c r="P196" s="9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57"/>
    </row>
    <row r="197" spans="2:51" ht="12.75">
      <c r="B197" s="119">
        <v>15</v>
      </c>
      <c r="C197" s="37"/>
      <c r="D197" s="33"/>
      <c r="E197" s="88"/>
      <c r="F197" s="79"/>
      <c r="G197" s="8" t="s">
        <v>13</v>
      </c>
      <c r="H197" s="42">
        <v>12355.42</v>
      </c>
      <c r="I197" s="20">
        <v>12770.33</v>
      </c>
      <c r="J197" s="20"/>
      <c r="K197" s="42"/>
      <c r="L197" s="42"/>
      <c r="M197" s="42"/>
      <c r="N197" s="41">
        <f t="shared" si="32"/>
        <v>638.5165000000001</v>
      </c>
      <c r="O197" s="68">
        <f t="shared" si="33"/>
        <v>6111</v>
      </c>
      <c r="P197" s="98" t="s">
        <v>164</v>
      </c>
      <c r="Q197" s="48"/>
      <c r="R197" s="48"/>
      <c r="S197" s="48">
        <v>333</v>
      </c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>
        <v>5778</v>
      </c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57"/>
    </row>
    <row r="198" spans="2:51" ht="13.5" thickBot="1">
      <c r="B198" s="122">
        <v>15</v>
      </c>
      <c r="C198" s="38"/>
      <c r="D198" s="63"/>
      <c r="E198" s="144"/>
      <c r="F198" s="81"/>
      <c r="G198" s="64" t="s">
        <v>14</v>
      </c>
      <c r="H198" s="42">
        <v>12355.42</v>
      </c>
      <c r="I198" s="66">
        <v>17642.19</v>
      </c>
      <c r="J198" s="66"/>
      <c r="K198" s="42"/>
      <c r="L198" s="42"/>
      <c r="M198" s="42"/>
      <c r="N198" s="41">
        <f t="shared" si="32"/>
        <v>882.1095</v>
      </c>
      <c r="O198" s="68">
        <f t="shared" si="33"/>
        <v>2202</v>
      </c>
      <c r="P198" s="108" t="s">
        <v>362</v>
      </c>
      <c r="Q198" s="49">
        <v>87</v>
      </c>
      <c r="R198" s="49">
        <v>1097</v>
      </c>
      <c r="S198" s="49">
        <v>747</v>
      </c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>
        <v>271</v>
      </c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128">
        <f>AY186+(I186-K186-L186-M186-N186)+J186-O186</f>
        <v>-140528.67</v>
      </c>
    </row>
    <row r="199" spans="2:51" ht="14.25" thickBot="1" thickTop="1">
      <c r="B199" s="123">
        <v>16</v>
      </c>
      <c r="C199" s="59" t="s">
        <v>17</v>
      </c>
      <c r="D199" s="67">
        <v>66</v>
      </c>
      <c r="E199" s="145" t="s">
        <v>48</v>
      </c>
      <c r="F199" s="82">
        <v>1663.6</v>
      </c>
      <c r="G199" s="69"/>
      <c r="H199" s="69">
        <v>7986.52</v>
      </c>
      <c r="I199" s="70">
        <v>6430.13</v>
      </c>
      <c r="J199" s="70">
        <f>SUM(J200:J211)</f>
        <v>0</v>
      </c>
      <c r="K199" s="69">
        <f>SUM(K200:K211)</f>
        <v>0</v>
      </c>
      <c r="L199" s="69">
        <f>SUM(L200:L211)</f>
        <v>0</v>
      </c>
      <c r="M199" s="69">
        <f>SUM(M200:M211)</f>
        <v>0</v>
      </c>
      <c r="N199" s="69">
        <f>SUM(N200:N211)</f>
        <v>321.5065</v>
      </c>
      <c r="O199" s="16">
        <f t="shared" si="33"/>
        <v>13072.07</v>
      </c>
      <c r="P199" s="99"/>
      <c r="Q199" s="11">
        <f aca="true" t="shared" si="34" ref="Q199:AX199">SUM(Q200:Q211)</f>
        <v>0</v>
      </c>
      <c r="R199" s="11">
        <f t="shared" si="34"/>
        <v>0</v>
      </c>
      <c r="S199" s="11">
        <f t="shared" si="34"/>
        <v>0</v>
      </c>
      <c r="T199" s="11">
        <f t="shared" si="34"/>
        <v>0</v>
      </c>
      <c r="U199" s="11">
        <f t="shared" si="34"/>
        <v>0</v>
      </c>
      <c r="V199" s="11">
        <f t="shared" si="34"/>
        <v>0</v>
      </c>
      <c r="W199" s="11">
        <f t="shared" si="34"/>
        <v>0</v>
      </c>
      <c r="X199" s="11">
        <f t="shared" si="34"/>
        <v>9364</v>
      </c>
      <c r="Y199" s="11">
        <f t="shared" si="34"/>
        <v>0</v>
      </c>
      <c r="Z199" s="11">
        <f t="shared" si="34"/>
        <v>0</v>
      </c>
      <c r="AA199" s="11">
        <f t="shared" si="34"/>
        <v>0</v>
      </c>
      <c r="AB199" s="11">
        <f t="shared" si="34"/>
        <v>0</v>
      </c>
      <c r="AC199" s="11">
        <f t="shared" si="34"/>
        <v>0</v>
      </c>
      <c r="AD199" s="11">
        <f t="shared" si="34"/>
        <v>0</v>
      </c>
      <c r="AE199" s="11">
        <f t="shared" si="34"/>
        <v>0</v>
      </c>
      <c r="AF199" s="11">
        <f t="shared" si="34"/>
        <v>0</v>
      </c>
      <c r="AG199" s="11">
        <f t="shared" si="34"/>
        <v>0</v>
      </c>
      <c r="AH199" s="11">
        <f t="shared" si="34"/>
        <v>0</v>
      </c>
      <c r="AI199" s="11">
        <f t="shared" si="34"/>
        <v>0</v>
      </c>
      <c r="AJ199" s="11">
        <f t="shared" si="34"/>
        <v>0</v>
      </c>
      <c r="AK199" s="11">
        <f t="shared" si="34"/>
        <v>0</v>
      </c>
      <c r="AL199" s="11">
        <f t="shared" si="34"/>
        <v>0</v>
      </c>
      <c r="AM199" s="11">
        <f t="shared" si="34"/>
        <v>0</v>
      </c>
      <c r="AN199" s="11">
        <f t="shared" si="34"/>
        <v>0</v>
      </c>
      <c r="AO199" s="11">
        <f>SUM(AO200:AO211)</f>
        <v>0</v>
      </c>
      <c r="AP199" s="11">
        <f t="shared" si="34"/>
        <v>0</v>
      </c>
      <c r="AQ199" s="11">
        <f t="shared" si="34"/>
        <v>0</v>
      </c>
      <c r="AR199" s="11">
        <f t="shared" si="34"/>
        <v>0</v>
      </c>
      <c r="AS199" s="11">
        <f t="shared" si="34"/>
        <v>0</v>
      </c>
      <c r="AT199" s="11">
        <f t="shared" si="34"/>
        <v>0</v>
      </c>
      <c r="AU199" s="11">
        <f t="shared" si="34"/>
        <v>0</v>
      </c>
      <c r="AV199" s="11">
        <f t="shared" si="34"/>
        <v>0</v>
      </c>
      <c r="AW199" s="11">
        <f t="shared" si="34"/>
        <v>0</v>
      </c>
      <c r="AX199" s="11">
        <f t="shared" si="34"/>
        <v>3708.07</v>
      </c>
      <c r="AY199" s="133">
        <v>-92982.58</v>
      </c>
    </row>
    <row r="200" spans="2:51" ht="13.5" thickTop="1">
      <c r="B200" s="119">
        <v>16</v>
      </c>
      <c r="C200" s="36" t="s">
        <v>70</v>
      </c>
      <c r="D200" s="31"/>
      <c r="E200" s="184" t="s">
        <v>141</v>
      </c>
      <c r="F200" s="78"/>
      <c r="G200" s="9" t="s">
        <v>3</v>
      </c>
      <c r="H200" s="41">
        <v>0</v>
      </c>
      <c r="I200" s="19">
        <v>0</v>
      </c>
      <c r="J200" s="19"/>
      <c r="K200" s="41"/>
      <c r="L200" s="41"/>
      <c r="M200" s="41">
        <v>0</v>
      </c>
      <c r="N200" s="41">
        <f aca="true" t="shared" si="35" ref="N200:N211">I200*0.05</f>
        <v>0</v>
      </c>
      <c r="O200" s="68">
        <f t="shared" si="33"/>
        <v>0</v>
      </c>
      <c r="P200" s="107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132"/>
    </row>
    <row r="201" spans="2:51" ht="12.75">
      <c r="B201" s="119">
        <v>16</v>
      </c>
      <c r="C201" s="37"/>
      <c r="D201" s="33"/>
      <c r="E201" s="90" t="s">
        <v>121</v>
      </c>
      <c r="F201" s="79"/>
      <c r="G201" s="8" t="s">
        <v>4</v>
      </c>
      <c r="H201" s="42">
        <v>0</v>
      </c>
      <c r="I201" s="20">
        <v>0</v>
      </c>
      <c r="J201" s="20"/>
      <c r="K201" s="42"/>
      <c r="L201" s="42"/>
      <c r="M201" s="42"/>
      <c r="N201" s="41">
        <f t="shared" si="35"/>
        <v>0</v>
      </c>
      <c r="O201" s="68">
        <f t="shared" si="33"/>
        <v>0</v>
      </c>
      <c r="P201" s="95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57"/>
    </row>
    <row r="202" spans="2:51" ht="12.75">
      <c r="B202" s="119">
        <v>16</v>
      </c>
      <c r="C202" s="37"/>
      <c r="D202" s="33"/>
      <c r="E202" s="88" t="s">
        <v>109</v>
      </c>
      <c r="F202" s="79"/>
      <c r="G202" s="8" t="s">
        <v>5</v>
      </c>
      <c r="H202" s="42">
        <v>0</v>
      </c>
      <c r="I202" s="20">
        <v>0</v>
      </c>
      <c r="J202" s="20"/>
      <c r="K202" s="42"/>
      <c r="L202" s="42"/>
      <c r="M202" s="42"/>
      <c r="N202" s="41">
        <f t="shared" si="35"/>
        <v>0</v>
      </c>
      <c r="O202" s="68">
        <f t="shared" si="33"/>
        <v>0</v>
      </c>
      <c r="P202" s="176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57"/>
    </row>
    <row r="203" spans="2:51" ht="12.75">
      <c r="B203" s="119">
        <v>16</v>
      </c>
      <c r="C203" s="37"/>
      <c r="D203" s="33"/>
      <c r="E203" s="88"/>
      <c r="F203" s="79"/>
      <c r="G203" s="8" t="s">
        <v>6</v>
      </c>
      <c r="H203" s="42">
        <v>0</v>
      </c>
      <c r="I203" s="20">
        <v>0</v>
      </c>
      <c r="J203" s="20"/>
      <c r="K203" s="42"/>
      <c r="L203" s="42"/>
      <c r="M203" s="42"/>
      <c r="N203" s="41">
        <f t="shared" si="35"/>
        <v>0</v>
      </c>
      <c r="O203" s="68">
        <f t="shared" si="33"/>
        <v>0</v>
      </c>
      <c r="P203" s="9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57"/>
    </row>
    <row r="204" spans="2:51" ht="12.75">
      <c r="B204" s="119">
        <v>16</v>
      </c>
      <c r="C204" s="37"/>
      <c r="D204" s="33"/>
      <c r="E204" s="88"/>
      <c r="F204" s="79"/>
      <c r="G204" s="8" t="s">
        <v>7</v>
      </c>
      <c r="H204" s="42">
        <v>0</v>
      </c>
      <c r="I204" s="20">
        <v>0</v>
      </c>
      <c r="J204" s="20"/>
      <c r="K204" s="42"/>
      <c r="L204" s="42"/>
      <c r="M204" s="42"/>
      <c r="N204" s="41">
        <f t="shared" si="35"/>
        <v>0</v>
      </c>
      <c r="O204" s="68">
        <f t="shared" si="33"/>
        <v>13072.07</v>
      </c>
      <c r="P204" s="98"/>
      <c r="Q204" s="48"/>
      <c r="R204" s="48"/>
      <c r="S204" s="48"/>
      <c r="T204" s="48"/>
      <c r="U204" s="48"/>
      <c r="V204" s="48"/>
      <c r="W204" s="48"/>
      <c r="X204" s="48">
        <v>9364</v>
      </c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>
        <v>3708.07</v>
      </c>
      <c r="AY204" s="57"/>
    </row>
    <row r="205" spans="2:51" ht="12.75">
      <c r="B205" s="119">
        <v>16</v>
      </c>
      <c r="C205" s="37"/>
      <c r="D205" s="33"/>
      <c r="E205" s="88"/>
      <c r="F205" s="79"/>
      <c r="G205" s="8" t="s">
        <v>8</v>
      </c>
      <c r="H205" s="42">
        <v>0</v>
      </c>
      <c r="I205" s="20">
        <v>0</v>
      </c>
      <c r="J205" s="20"/>
      <c r="K205" s="42"/>
      <c r="L205" s="42"/>
      <c r="M205" s="42"/>
      <c r="N205" s="41">
        <f t="shared" si="35"/>
        <v>0</v>
      </c>
      <c r="O205" s="68">
        <f t="shared" si="33"/>
        <v>0</v>
      </c>
      <c r="P205" s="9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57"/>
    </row>
    <row r="206" spans="2:51" ht="12.75">
      <c r="B206" s="119">
        <v>16</v>
      </c>
      <c r="C206" s="37"/>
      <c r="D206" s="33"/>
      <c r="E206" s="88"/>
      <c r="F206" s="79"/>
      <c r="G206" s="8" t="s">
        <v>9</v>
      </c>
      <c r="H206" s="42">
        <v>0</v>
      </c>
      <c r="I206" s="20">
        <v>0</v>
      </c>
      <c r="J206" s="20"/>
      <c r="K206" s="42"/>
      <c r="L206" s="42"/>
      <c r="M206" s="42"/>
      <c r="N206" s="41">
        <f t="shared" si="35"/>
        <v>0</v>
      </c>
      <c r="O206" s="68">
        <f t="shared" si="33"/>
        <v>0</v>
      </c>
      <c r="P206" s="9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57"/>
    </row>
    <row r="207" spans="2:51" ht="12.75">
      <c r="B207" s="119">
        <v>16</v>
      </c>
      <c r="C207" s="37"/>
      <c r="D207" s="33"/>
      <c r="E207" s="88"/>
      <c r="F207" s="79"/>
      <c r="G207" s="8" t="s">
        <v>10</v>
      </c>
      <c r="H207" s="42">
        <v>0</v>
      </c>
      <c r="I207" s="20">
        <v>0</v>
      </c>
      <c r="J207" s="20"/>
      <c r="K207" s="42"/>
      <c r="L207" s="42"/>
      <c r="M207" s="42"/>
      <c r="N207" s="41">
        <f t="shared" si="35"/>
        <v>0</v>
      </c>
      <c r="O207" s="68">
        <f t="shared" si="33"/>
        <v>0</v>
      </c>
      <c r="P207" s="94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57"/>
    </row>
    <row r="208" spans="2:51" ht="12.75">
      <c r="B208" s="119">
        <v>16</v>
      </c>
      <c r="C208" s="37"/>
      <c r="D208" s="33"/>
      <c r="E208" s="88"/>
      <c r="F208" s="79"/>
      <c r="G208" s="8" t="s">
        <v>11</v>
      </c>
      <c r="H208" s="42">
        <v>0</v>
      </c>
      <c r="I208" s="20">
        <v>0</v>
      </c>
      <c r="J208" s="20"/>
      <c r="K208" s="42"/>
      <c r="L208" s="42"/>
      <c r="M208" s="42"/>
      <c r="N208" s="41">
        <f t="shared" si="35"/>
        <v>0</v>
      </c>
      <c r="O208" s="68">
        <f t="shared" si="33"/>
        <v>0</v>
      </c>
      <c r="P208" s="9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57"/>
    </row>
    <row r="209" spans="2:51" ht="12.75">
      <c r="B209" s="119">
        <v>16</v>
      </c>
      <c r="C209" s="37"/>
      <c r="D209" s="33"/>
      <c r="E209" s="88"/>
      <c r="F209" s="79"/>
      <c r="G209" s="8" t="s">
        <v>12</v>
      </c>
      <c r="H209" s="42">
        <v>3993.26</v>
      </c>
      <c r="I209" s="20">
        <v>645.65</v>
      </c>
      <c r="J209" s="20"/>
      <c r="K209" s="42"/>
      <c r="L209" s="42"/>
      <c r="M209" s="42"/>
      <c r="N209" s="41">
        <f t="shared" si="35"/>
        <v>32.2825</v>
      </c>
      <c r="O209" s="68">
        <f t="shared" si="33"/>
        <v>0</v>
      </c>
      <c r="P209" s="9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57"/>
    </row>
    <row r="210" spans="2:51" ht="12.75">
      <c r="B210" s="119">
        <v>16</v>
      </c>
      <c r="C210" s="37"/>
      <c r="D210" s="33"/>
      <c r="E210" s="88"/>
      <c r="F210" s="79"/>
      <c r="G210" s="8" t="s">
        <v>13</v>
      </c>
      <c r="H210" s="42">
        <v>1996.63</v>
      </c>
      <c r="I210" s="20">
        <v>3221.45</v>
      </c>
      <c r="J210" s="20"/>
      <c r="K210" s="42"/>
      <c r="L210" s="42"/>
      <c r="M210" s="42"/>
      <c r="N210" s="41">
        <f t="shared" si="35"/>
        <v>161.0725</v>
      </c>
      <c r="O210" s="68">
        <f t="shared" si="33"/>
        <v>0</v>
      </c>
      <c r="P210" s="9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57"/>
    </row>
    <row r="211" spans="2:51" ht="13.5" thickBot="1">
      <c r="B211" s="122">
        <v>16</v>
      </c>
      <c r="C211" s="38"/>
      <c r="D211" s="63"/>
      <c r="E211" s="144"/>
      <c r="F211" s="81"/>
      <c r="G211" s="64" t="s">
        <v>14</v>
      </c>
      <c r="H211" s="65">
        <v>1996.63</v>
      </c>
      <c r="I211" s="66">
        <v>2563.03</v>
      </c>
      <c r="J211" s="66"/>
      <c r="K211" s="65"/>
      <c r="L211" s="65"/>
      <c r="M211" s="65"/>
      <c r="N211" s="41">
        <f t="shared" si="35"/>
        <v>128.15150000000003</v>
      </c>
      <c r="O211" s="68">
        <f t="shared" si="33"/>
        <v>0</v>
      </c>
      <c r="P211" s="167"/>
      <c r="Q211" s="168"/>
      <c r="R211" s="168"/>
      <c r="S211" s="168"/>
      <c r="T211" s="168"/>
      <c r="U211" s="168"/>
      <c r="V211" s="168"/>
      <c r="W211" s="168"/>
      <c r="X211" s="168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128">
        <f>AY199+(I199-K199-L199-M199-N199)+J199-O199</f>
        <v>-99946.0265</v>
      </c>
    </row>
    <row r="212" spans="2:51" ht="14.25" thickBot="1" thickTop="1">
      <c r="B212" s="123">
        <v>17</v>
      </c>
      <c r="C212" s="59" t="s">
        <v>41</v>
      </c>
      <c r="D212" s="67">
        <v>40</v>
      </c>
      <c r="E212" s="145" t="s">
        <v>48</v>
      </c>
      <c r="F212" s="82">
        <v>598.9</v>
      </c>
      <c r="G212" s="69"/>
      <c r="H212" s="69">
        <v>0</v>
      </c>
      <c r="I212" s="70">
        <v>0</v>
      </c>
      <c r="J212" s="70">
        <f>SUM(J213:J224)</f>
        <v>0</v>
      </c>
      <c r="K212" s="69">
        <f>SUM(K213:K224)</f>
        <v>0</v>
      </c>
      <c r="L212" s="69">
        <f>SUM(L213:L224)</f>
        <v>1359.16</v>
      </c>
      <c r="M212" s="69">
        <f>SUM(M213:M224)</f>
        <v>52.03</v>
      </c>
      <c r="N212" s="69">
        <f>SUM(N213:N224)</f>
        <v>0</v>
      </c>
      <c r="O212" s="16">
        <f t="shared" si="33"/>
        <v>4419</v>
      </c>
      <c r="P212" s="109"/>
      <c r="Q212" s="16">
        <f aca="true" t="shared" si="36" ref="Q212:AX212">SUM(Q213:Q224)</f>
        <v>1200</v>
      </c>
      <c r="R212" s="16">
        <f t="shared" si="36"/>
        <v>0</v>
      </c>
      <c r="S212" s="16">
        <f t="shared" si="36"/>
        <v>2387</v>
      </c>
      <c r="T212" s="16">
        <f t="shared" si="36"/>
        <v>0</v>
      </c>
      <c r="U212" s="16">
        <f t="shared" si="36"/>
        <v>0</v>
      </c>
      <c r="V212" s="16">
        <f t="shared" si="36"/>
        <v>0</v>
      </c>
      <c r="W212" s="16">
        <f t="shared" si="36"/>
        <v>131</v>
      </c>
      <c r="X212" s="16">
        <f t="shared" si="36"/>
        <v>701</v>
      </c>
      <c r="Y212" s="11">
        <f t="shared" si="36"/>
        <v>0</v>
      </c>
      <c r="Z212" s="11">
        <f t="shared" si="36"/>
        <v>0</v>
      </c>
      <c r="AA212" s="11">
        <f t="shared" si="36"/>
        <v>0</v>
      </c>
      <c r="AB212" s="11">
        <f t="shared" si="36"/>
        <v>0</v>
      </c>
      <c r="AC212" s="11">
        <f t="shared" si="36"/>
        <v>0</v>
      </c>
      <c r="AD212" s="11">
        <f t="shared" si="36"/>
        <v>0</v>
      </c>
      <c r="AE212" s="11">
        <f t="shared" si="36"/>
        <v>0</v>
      </c>
      <c r="AF212" s="11">
        <f t="shared" si="36"/>
        <v>0</v>
      </c>
      <c r="AG212" s="11">
        <f t="shared" si="36"/>
        <v>0</v>
      </c>
      <c r="AH212" s="11">
        <f t="shared" si="36"/>
        <v>0</v>
      </c>
      <c r="AI212" s="11">
        <f t="shared" si="36"/>
        <v>0</v>
      </c>
      <c r="AJ212" s="11">
        <f t="shared" si="36"/>
        <v>0</v>
      </c>
      <c r="AK212" s="11">
        <f t="shared" si="36"/>
        <v>0</v>
      </c>
      <c r="AL212" s="11">
        <f t="shared" si="36"/>
        <v>0</v>
      </c>
      <c r="AM212" s="11">
        <f t="shared" si="36"/>
        <v>0</v>
      </c>
      <c r="AN212" s="11">
        <f t="shared" si="36"/>
        <v>0</v>
      </c>
      <c r="AO212" s="11">
        <f>SUM(AO213:AO224)</f>
        <v>0</v>
      </c>
      <c r="AP212" s="11">
        <f t="shared" si="36"/>
        <v>0</v>
      </c>
      <c r="AQ212" s="11">
        <f t="shared" si="36"/>
        <v>0</v>
      </c>
      <c r="AR212" s="11">
        <f t="shared" si="36"/>
        <v>0</v>
      </c>
      <c r="AS212" s="11">
        <f t="shared" si="36"/>
        <v>0</v>
      </c>
      <c r="AT212" s="11">
        <f t="shared" si="36"/>
        <v>0</v>
      </c>
      <c r="AU212" s="11">
        <f t="shared" si="36"/>
        <v>0</v>
      </c>
      <c r="AV212" s="11">
        <f t="shared" si="36"/>
        <v>0</v>
      </c>
      <c r="AW212" s="11">
        <f t="shared" si="36"/>
        <v>0</v>
      </c>
      <c r="AX212" s="11">
        <f t="shared" si="36"/>
        <v>0</v>
      </c>
      <c r="AY212" s="127">
        <v>-4518.72</v>
      </c>
    </row>
    <row r="213" spans="2:51" ht="13.5" thickTop="1">
      <c r="B213" s="119">
        <v>17</v>
      </c>
      <c r="C213" s="36" t="s">
        <v>71</v>
      </c>
      <c r="D213" s="31"/>
      <c r="E213" s="184" t="s">
        <v>127</v>
      </c>
      <c r="F213" s="78"/>
      <c r="G213" s="9" t="s">
        <v>3</v>
      </c>
      <c r="H213" s="41">
        <v>0</v>
      </c>
      <c r="I213" s="19">
        <v>0</v>
      </c>
      <c r="J213" s="19"/>
      <c r="K213" s="41"/>
      <c r="L213" s="41">
        <v>1359.16</v>
      </c>
      <c r="M213" s="41">
        <v>52.03</v>
      </c>
      <c r="N213" s="41">
        <f aca="true" t="shared" si="37" ref="N213:N224">I213*0.05</f>
        <v>0</v>
      </c>
      <c r="O213" s="68">
        <f t="shared" si="33"/>
        <v>0</v>
      </c>
      <c r="P213" s="107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132"/>
    </row>
    <row r="214" spans="2:51" ht="12.75">
      <c r="B214" s="119">
        <v>17</v>
      </c>
      <c r="C214" s="37"/>
      <c r="D214" s="33"/>
      <c r="E214" s="90" t="s">
        <v>128</v>
      </c>
      <c r="F214" s="79"/>
      <c r="G214" s="8" t="s">
        <v>4</v>
      </c>
      <c r="H214" s="42">
        <v>0</v>
      </c>
      <c r="I214" s="20">
        <v>0</v>
      </c>
      <c r="J214" s="20"/>
      <c r="K214" s="42"/>
      <c r="L214" s="42"/>
      <c r="M214" s="42"/>
      <c r="N214" s="41">
        <f t="shared" si="37"/>
        <v>0</v>
      </c>
      <c r="O214" s="68">
        <f t="shared" si="33"/>
        <v>0</v>
      </c>
      <c r="P214" s="95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57"/>
    </row>
    <row r="215" spans="2:51" ht="12.75">
      <c r="B215" s="119">
        <v>17</v>
      </c>
      <c r="C215" s="37"/>
      <c r="D215" s="33"/>
      <c r="E215" s="88"/>
      <c r="F215" s="79"/>
      <c r="G215" s="8" t="s">
        <v>5</v>
      </c>
      <c r="H215" s="42">
        <v>0</v>
      </c>
      <c r="I215" s="20">
        <v>0</v>
      </c>
      <c r="J215" s="20"/>
      <c r="K215" s="42"/>
      <c r="L215" s="42"/>
      <c r="M215" s="42"/>
      <c r="N215" s="41">
        <f t="shared" si="37"/>
        <v>0</v>
      </c>
      <c r="O215" s="68">
        <f t="shared" si="33"/>
        <v>0</v>
      </c>
      <c r="P215" s="9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57"/>
    </row>
    <row r="216" spans="2:51" ht="12.75">
      <c r="B216" s="119">
        <v>17</v>
      </c>
      <c r="C216" s="37"/>
      <c r="D216" s="33"/>
      <c r="E216" s="88"/>
      <c r="F216" s="79"/>
      <c r="G216" s="8" t="s">
        <v>6</v>
      </c>
      <c r="H216" s="42">
        <v>0</v>
      </c>
      <c r="I216" s="20">
        <v>0</v>
      </c>
      <c r="J216" s="20"/>
      <c r="K216" s="42"/>
      <c r="L216" s="42"/>
      <c r="M216" s="42"/>
      <c r="N216" s="41">
        <f t="shared" si="37"/>
        <v>0</v>
      </c>
      <c r="O216" s="68">
        <f t="shared" si="33"/>
        <v>1200</v>
      </c>
      <c r="P216" s="176" t="s">
        <v>172</v>
      </c>
      <c r="Q216" s="48">
        <v>1200</v>
      </c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57"/>
    </row>
    <row r="217" spans="2:51" ht="12.75">
      <c r="B217" s="119">
        <v>17</v>
      </c>
      <c r="C217" s="37"/>
      <c r="D217" s="33"/>
      <c r="E217" s="88"/>
      <c r="F217" s="79"/>
      <c r="G217" s="8" t="s">
        <v>7</v>
      </c>
      <c r="H217" s="42">
        <v>0</v>
      </c>
      <c r="I217" s="20">
        <v>0</v>
      </c>
      <c r="J217" s="20"/>
      <c r="K217" s="42"/>
      <c r="L217" s="42"/>
      <c r="M217" s="42"/>
      <c r="N217" s="41">
        <f t="shared" si="37"/>
        <v>0</v>
      </c>
      <c r="O217" s="68">
        <f t="shared" si="33"/>
        <v>701</v>
      </c>
      <c r="P217" s="98"/>
      <c r="Q217" s="48"/>
      <c r="R217" s="48"/>
      <c r="S217" s="48"/>
      <c r="T217" s="48"/>
      <c r="U217" s="48"/>
      <c r="V217" s="48"/>
      <c r="W217" s="48"/>
      <c r="X217" s="48">
        <v>701</v>
      </c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57"/>
    </row>
    <row r="218" spans="2:51" ht="12.75">
      <c r="B218" s="119">
        <v>17</v>
      </c>
      <c r="C218" s="37"/>
      <c r="D218" s="33"/>
      <c r="E218" s="88"/>
      <c r="F218" s="79"/>
      <c r="G218" s="8" t="s">
        <v>8</v>
      </c>
      <c r="H218" s="42">
        <v>0</v>
      </c>
      <c r="I218" s="20">
        <v>0</v>
      </c>
      <c r="J218" s="20"/>
      <c r="K218" s="42"/>
      <c r="L218" s="42"/>
      <c r="M218" s="42"/>
      <c r="N218" s="41">
        <f t="shared" si="37"/>
        <v>0</v>
      </c>
      <c r="O218" s="68">
        <f t="shared" si="33"/>
        <v>0</v>
      </c>
      <c r="P218" s="176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57"/>
    </row>
    <row r="219" spans="2:51" ht="12.75">
      <c r="B219" s="119">
        <v>17</v>
      </c>
      <c r="C219" s="37"/>
      <c r="D219" s="33"/>
      <c r="E219" s="88"/>
      <c r="F219" s="79"/>
      <c r="G219" s="8" t="s">
        <v>9</v>
      </c>
      <c r="H219" s="42">
        <v>0</v>
      </c>
      <c r="I219" s="20">
        <v>0</v>
      </c>
      <c r="J219" s="20"/>
      <c r="K219" s="42"/>
      <c r="L219" s="42"/>
      <c r="M219" s="42"/>
      <c r="N219" s="41">
        <f t="shared" si="37"/>
        <v>0</v>
      </c>
      <c r="O219" s="68">
        <f t="shared" si="33"/>
        <v>0</v>
      </c>
      <c r="P219" s="9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57"/>
    </row>
    <row r="220" spans="2:51" ht="12.75">
      <c r="B220" s="119">
        <v>17</v>
      </c>
      <c r="C220" s="37"/>
      <c r="D220" s="33"/>
      <c r="E220" s="88"/>
      <c r="F220" s="79"/>
      <c r="G220" s="8" t="s">
        <v>10</v>
      </c>
      <c r="H220" s="42">
        <v>0</v>
      </c>
      <c r="I220" s="20">
        <v>0</v>
      </c>
      <c r="J220" s="20"/>
      <c r="K220" s="42"/>
      <c r="L220" s="42"/>
      <c r="M220" s="42"/>
      <c r="N220" s="41">
        <f t="shared" si="37"/>
        <v>0</v>
      </c>
      <c r="O220" s="68">
        <f t="shared" si="33"/>
        <v>0</v>
      </c>
      <c r="P220" s="173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57"/>
    </row>
    <row r="221" spans="2:51" ht="12.75">
      <c r="B221" s="119">
        <v>17</v>
      </c>
      <c r="C221" s="37"/>
      <c r="D221" s="33"/>
      <c r="E221" s="88"/>
      <c r="F221" s="79"/>
      <c r="G221" s="8" t="s">
        <v>11</v>
      </c>
      <c r="H221" s="42">
        <v>0</v>
      </c>
      <c r="I221" s="20">
        <v>0</v>
      </c>
      <c r="J221" s="20"/>
      <c r="K221" s="42"/>
      <c r="L221" s="42"/>
      <c r="M221" s="42"/>
      <c r="N221" s="41">
        <f t="shared" si="37"/>
        <v>0</v>
      </c>
      <c r="O221" s="68">
        <f t="shared" si="33"/>
        <v>0</v>
      </c>
      <c r="P221" s="9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57"/>
    </row>
    <row r="222" spans="2:51" ht="12.75">
      <c r="B222" s="119">
        <v>17</v>
      </c>
      <c r="C222" s="37"/>
      <c r="D222" s="33"/>
      <c r="E222" s="88"/>
      <c r="F222" s="79"/>
      <c r="G222" s="8" t="s">
        <v>12</v>
      </c>
      <c r="H222" s="42">
        <v>0</v>
      </c>
      <c r="I222" s="20">
        <v>0</v>
      </c>
      <c r="J222" s="20"/>
      <c r="K222" s="42"/>
      <c r="L222" s="42"/>
      <c r="M222" s="42"/>
      <c r="N222" s="41">
        <f t="shared" si="37"/>
        <v>0</v>
      </c>
      <c r="O222" s="68">
        <f t="shared" si="33"/>
        <v>0</v>
      </c>
      <c r="P222" s="9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57"/>
    </row>
    <row r="223" spans="2:51" ht="12.75">
      <c r="B223" s="119">
        <v>17</v>
      </c>
      <c r="C223" s="37"/>
      <c r="D223" s="33"/>
      <c r="E223" s="88"/>
      <c r="F223" s="79"/>
      <c r="G223" s="8" t="s">
        <v>13</v>
      </c>
      <c r="H223" s="42">
        <v>0</v>
      </c>
      <c r="I223" s="20">
        <v>0</v>
      </c>
      <c r="J223" s="20"/>
      <c r="K223" s="42"/>
      <c r="L223" s="42"/>
      <c r="M223" s="42"/>
      <c r="N223" s="41">
        <f t="shared" si="37"/>
        <v>0</v>
      </c>
      <c r="O223" s="68">
        <f t="shared" si="33"/>
        <v>2387</v>
      </c>
      <c r="P223" s="98"/>
      <c r="Q223" s="48"/>
      <c r="R223" s="48"/>
      <c r="S223" s="48">
        <v>2387</v>
      </c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57"/>
    </row>
    <row r="224" spans="2:51" ht="13.5" thickBot="1">
      <c r="B224" s="122">
        <v>17</v>
      </c>
      <c r="C224" s="38"/>
      <c r="D224" s="35"/>
      <c r="E224" s="125"/>
      <c r="F224" s="80"/>
      <c r="G224" s="12" t="s">
        <v>14</v>
      </c>
      <c r="H224" s="43">
        <v>0</v>
      </c>
      <c r="I224" s="21">
        <v>0</v>
      </c>
      <c r="J224" s="66"/>
      <c r="K224" s="43"/>
      <c r="L224" s="43"/>
      <c r="M224" s="43"/>
      <c r="N224" s="41">
        <f t="shared" si="37"/>
        <v>0</v>
      </c>
      <c r="O224" s="68">
        <f t="shared" si="33"/>
        <v>131</v>
      </c>
      <c r="P224" s="108"/>
      <c r="Q224" s="49"/>
      <c r="R224" s="49"/>
      <c r="S224" s="49"/>
      <c r="T224" s="49"/>
      <c r="U224" s="49"/>
      <c r="V224" s="49"/>
      <c r="W224" s="49">
        <v>131</v>
      </c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128">
        <f>AY212+(I212-K212-L212-M212-N212)+J212-O212</f>
        <v>-10348.91</v>
      </c>
    </row>
    <row r="225" spans="2:51" ht="14.25" thickBot="1" thickTop="1">
      <c r="B225" s="123">
        <v>18</v>
      </c>
      <c r="C225" s="73" t="s">
        <v>43</v>
      </c>
      <c r="D225" s="67">
        <v>82</v>
      </c>
      <c r="E225" s="145" t="s">
        <v>50</v>
      </c>
      <c r="F225" s="82">
        <v>1015.6</v>
      </c>
      <c r="G225" s="69"/>
      <c r="H225" s="69">
        <v>77210.22</v>
      </c>
      <c r="I225" s="70">
        <v>66402.15</v>
      </c>
      <c r="J225" s="70">
        <f>SUM(J226:J237)</f>
        <v>0</v>
      </c>
      <c r="K225" s="69">
        <f>SUM(K226:K237)</f>
        <v>0</v>
      </c>
      <c r="L225" s="69">
        <f>SUM(L226:L237)</f>
        <v>2342.67</v>
      </c>
      <c r="M225" s="69">
        <f>SUM(M226:M237)</f>
        <v>2264.81</v>
      </c>
      <c r="N225" s="69">
        <f>SUM(N226:N237)</f>
        <v>3320.1075</v>
      </c>
      <c r="O225" s="16">
        <f t="shared" si="33"/>
        <v>20816.06</v>
      </c>
      <c r="P225" s="109"/>
      <c r="Q225" s="16">
        <f aca="true" t="shared" si="38" ref="Q225:AX225">SUM(Q226:Q237)</f>
        <v>757</v>
      </c>
      <c r="R225" s="16">
        <f t="shared" si="38"/>
        <v>0</v>
      </c>
      <c r="S225" s="16">
        <f t="shared" si="38"/>
        <v>8885</v>
      </c>
      <c r="T225" s="16">
        <f t="shared" si="38"/>
        <v>0</v>
      </c>
      <c r="U225" s="16">
        <f t="shared" si="38"/>
        <v>0</v>
      </c>
      <c r="V225" s="16">
        <f t="shared" si="38"/>
        <v>2873</v>
      </c>
      <c r="W225" s="16">
        <f t="shared" si="38"/>
        <v>0</v>
      </c>
      <c r="X225" s="16">
        <f t="shared" si="38"/>
        <v>0</v>
      </c>
      <c r="Y225" s="11">
        <f t="shared" si="38"/>
        <v>0</v>
      </c>
      <c r="Z225" s="11">
        <f t="shared" si="38"/>
        <v>0</v>
      </c>
      <c r="AA225" s="11">
        <f t="shared" si="38"/>
        <v>0</v>
      </c>
      <c r="AB225" s="11">
        <f t="shared" si="38"/>
        <v>4902</v>
      </c>
      <c r="AC225" s="11">
        <f t="shared" si="38"/>
        <v>0</v>
      </c>
      <c r="AD225" s="11">
        <f t="shared" si="38"/>
        <v>0</v>
      </c>
      <c r="AE225" s="11">
        <f t="shared" si="38"/>
        <v>0</v>
      </c>
      <c r="AF225" s="11">
        <f t="shared" si="38"/>
        <v>0</v>
      </c>
      <c r="AG225" s="11">
        <f t="shared" si="38"/>
        <v>0</v>
      </c>
      <c r="AH225" s="11">
        <f t="shared" si="38"/>
        <v>0</v>
      </c>
      <c r="AI225" s="11">
        <f t="shared" si="38"/>
        <v>0</v>
      </c>
      <c r="AJ225" s="11">
        <f t="shared" si="38"/>
        <v>0</v>
      </c>
      <c r="AK225" s="11">
        <f t="shared" si="38"/>
        <v>0</v>
      </c>
      <c r="AL225" s="11">
        <f t="shared" si="38"/>
        <v>0</v>
      </c>
      <c r="AM225" s="11">
        <f t="shared" si="38"/>
        <v>0</v>
      </c>
      <c r="AN225" s="11">
        <f t="shared" si="38"/>
        <v>0</v>
      </c>
      <c r="AO225" s="11">
        <f>SUM(AO226:AO237)</f>
        <v>0</v>
      </c>
      <c r="AP225" s="11">
        <f t="shared" si="38"/>
        <v>0</v>
      </c>
      <c r="AQ225" s="11">
        <f t="shared" si="38"/>
        <v>0</v>
      </c>
      <c r="AR225" s="11">
        <f t="shared" si="38"/>
        <v>0</v>
      </c>
      <c r="AS225" s="11">
        <f t="shared" si="38"/>
        <v>0</v>
      </c>
      <c r="AT225" s="11">
        <f t="shared" si="38"/>
        <v>0</v>
      </c>
      <c r="AU225" s="11">
        <f t="shared" si="38"/>
        <v>0</v>
      </c>
      <c r="AV225" s="11">
        <f t="shared" si="38"/>
        <v>0</v>
      </c>
      <c r="AW225" s="11">
        <f t="shared" si="38"/>
        <v>0</v>
      </c>
      <c r="AX225" s="11">
        <f t="shared" si="38"/>
        <v>3399.06</v>
      </c>
      <c r="AY225" s="127">
        <v>-22993.75</v>
      </c>
    </row>
    <row r="226" spans="1:51" ht="13.5" thickTop="1">
      <c r="A226" s="71"/>
      <c r="B226" s="119">
        <v>18</v>
      </c>
      <c r="C226" s="36" t="s">
        <v>72</v>
      </c>
      <c r="D226" s="31"/>
      <c r="E226" s="89" t="s">
        <v>95</v>
      </c>
      <c r="F226" s="78"/>
      <c r="G226" s="9" t="s">
        <v>3</v>
      </c>
      <c r="H226" s="41">
        <v>4020.34</v>
      </c>
      <c r="I226" s="19">
        <v>2318.78</v>
      </c>
      <c r="J226" s="19"/>
      <c r="K226" s="41"/>
      <c r="L226" s="41">
        <v>2342.67</v>
      </c>
      <c r="M226" s="41">
        <v>2264.81</v>
      </c>
      <c r="N226" s="41">
        <f aca="true" t="shared" si="39" ref="N226:N237">I226*0.05</f>
        <v>115.93900000000002</v>
      </c>
      <c r="O226" s="68">
        <f t="shared" si="33"/>
        <v>0</v>
      </c>
      <c r="P226" s="107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132"/>
    </row>
    <row r="227" spans="1:51" ht="12.75">
      <c r="A227" s="71"/>
      <c r="B227" s="119">
        <v>18</v>
      </c>
      <c r="C227" s="37"/>
      <c r="D227" s="33"/>
      <c r="E227" s="90" t="s">
        <v>96</v>
      </c>
      <c r="F227" s="79"/>
      <c r="G227" s="8" t="s">
        <v>4</v>
      </c>
      <c r="H227" s="42">
        <v>4199.41</v>
      </c>
      <c r="I227" s="20">
        <v>3988.44</v>
      </c>
      <c r="J227" s="20"/>
      <c r="K227" s="42"/>
      <c r="L227" s="42"/>
      <c r="M227" s="42"/>
      <c r="N227" s="41">
        <f t="shared" si="39"/>
        <v>199.42200000000003</v>
      </c>
      <c r="O227" s="68">
        <f t="shared" si="33"/>
        <v>0</v>
      </c>
      <c r="P227" s="95"/>
      <c r="Q227" s="48"/>
      <c r="R227" s="72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57"/>
    </row>
    <row r="228" spans="1:51" ht="12.75">
      <c r="A228" s="71"/>
      <c r="B228" s="119">
        <v>18</v>
      </c>
      <c r="C228" s="37"/>
      <c r="D228" s="33"/>
      <c r="E228" s="90" t="s">
        <v>129</v>
      </c>
      <c r="F228" s="79"/>
      <c r="G228" s="8" t="s">
        <v>5</v>
      </c>
      <c r="H228" s="42">
        <v>4197.38</v>
      </c>
      <c r="I228" s="20">
        <v>4954.92</v>
      </c>
      <c r="J228" s="20"/>
      <c r="K228" s="42"/>
      <c r="L228" s="42"/>
      <c r="M228" s="42"/>
      <c r="N228" s="41">
        <f t="shared" si="39"/>
        <v>247.746</v>
      </c>
      <c r="O228" s="68">
        <f t="shared" si="33"/>
        <v>6272.0599999999995</v>
      </c>
      <c r="P228" s="98"/>
      <c r="Q228" s="72"/>
      <c r="R228" s="72"/>
      <c r="S228" s="48"/>
      <c r="T228" s="48"/>
      <c r="U228" s="48"/>
      <c r="V228" s="48">
        <v>2873</v>
      </c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>
        <v>3399.06</v>
      </c>
      <c r="AY228" s="57"/>
    </row>
    <row r="229" spans="1:51" ht="12.75">
      <c r="A229" s="71"/>
      <c r="B229" s="119">
        <v>18</v>
      </c>
      <c r="C229" s="37"/>
      <c r="D229" s="33"/>
      <c r="E229" s="88" t="s">
        <v>104</v>
      </c>
      <c r="F229" s="79"/>
      <c r="G229" s="8" t="s">
        <v>6</v>
      </c>
      <c r="H229" s="42">
        <v>4197.38</v>
      </c>
      <c r="I229" s="20">
        <v>4033.9</v>
      </c>
      <c r="J229" s="20"/>
      <c r="K229" s="42"/>
      <c r="L229" s="42"/>
      <c r="M229" s="42"/>
      <c r="N229" s="41">
        <f t="shared" si="39"/>
        <v>201.69500000000002</v>
      </c>
      <c r="O229" s="68">
        <f t="shared" si="33"/>
        <v>0</v>
      </c>
      <c r="P229" s="9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57"/>
    </row>
    <row r="230" spans="1:51" ht="12.75">
      <c r="A230" s="71"/>
      <c r="B230" s="119">
        <v>18</v>
      </c>
      <c r="C230" s="37"/>
      <c r="D230" s="33"/>
      <c r="E230" s="88"/>
      <c r="F230" s="79"/>
      <c r="G230" s="8" t="s">
        <v>7</v>
      </c>
      <c r="H230" s="42">
        <v>4197.38</v>
      </c>
      <c r="I230" s="20">
        <v>4339.58</v>
      </c>
      <c r="J230" s="20"/>
      <c r="K230" s="42"/>
      <c r="L230" s="42"/>
      <c r="M230" s="42"/>
      <c r="N230" s="41">
        <f t="shared" si="39"/>
        <v>216.979</v>
      </c>
      <c r="O230" s="68">
        <f t="shared" si="33"/>
        <v>757</v>
      </c>
      <c r="P230" s="98" t="s">
        <v>174</v>
      </c>
      <c r="Q230" s="48">
        <v>757</v>
      </c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57"/>
    </row>
    <row r="231" spans="1:51" ht="12.75">
      <c r="A231" s="71"/>
      <c r="B231" s="119">
        <v>18</v>
      </c>
      <c r="C231" s="37"/>
      <c r="D231" s="33"/>
      <c r="E231" s="88"/>
      <c r="F231" s="79"/>
      <c r="G231" s="8" t="s">
        <v>8</v>
      </c>
      <c r="H231" s="42">
        <v>4195.86</v>
      </c>
      <c r="I231" s="20">
        <v>5513.62</v>
      </c>
      <c r="J231" s="20"/>
      <c r="K231" s="42"/>
      <c r="L231" s="42"/>
      <c r="M231" s="42"/>
      <c r="N231" s="41">
        <f t="shared" si="39"/>
        <v>275.681</v>
      </c>
      <c r="O231" s="68">
        <f t="shared" si="33"/>
        <v>8885</v>
      </c>
      <c r="P231" s="98" t="s">
        <v>256</v>
      </c>
      <c r="Q231" s="48"/>
      <c r="R231" s="48"/>
      <c r="S231" s="48">
        <v>8885</v>
      </c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57"/>
    </row>
    <row r="232" spans="1:51" ht="12.75">
      <c r="A232" s="71"/>
      <c r="B232" s="119">
        <v>18</v>
      </c>
      <c r="C232" s="37"/>
      <c r="D232" s="33"/>
      <c r="E232" s="88"/>
      <c r="F232" s="79"/>
      <c r="G232" s="8" t="s">
        <v>9</v>
      </c>
      <c r="H232" s="42">
        <v>4708</v>
      </c>
      <c r="I232" s="20">
        <v>3591.27</v>
      </c>
      <c r="J232" s="20"/>
      <c r="K232" s="42"/>
      <c r="L232" s="42"/>
      <c r="M232" s="42"/>
      <c r="N232" s="41">
        <f t="shared" si="39"/>
        <v>179.5635</v>
      </c>
      <c r="O232" s="68">
        <f t="shared" si="33"/>
        <v>0</v>
      </c>
      <c r="P232" s="176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57"/>
    </row>
    <row r="233" spans="1:51" ht="12.75">
      <c r="A233" s="71"/>
      <c r="B233" s="119">
        <v>18</v>
      </c>
      <c r="C233" s="37"/>
      <c r="D233" s="33"/>
      <c r="E233" s="88"/>
      <c r="F233" s="79"/>
      <c r="G233" s="8" t="s">
        <v>10</v>
      </c>
      <c r="H233" s="42">
        <v>4705.72</v>
      </c>
      <c r="I233" s="20">
        <v>4725.13</v>
      </c>
      <c r="J233" s="20"/>
      <c r="K233" s="42"/>
      <c r="L233" s="42"/>
      <c r="M233" s="42"/>
      <c r="N233" s="41">
        <f t="shared" si="39"/>
        <v>236.25650000000002</v>
      </c>
      <c r="O233" s="68">
        <f t="shared" si="33"/>
        <v>0</v>
      </c>
      <c r="P233" s="94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57"/>
    </row>
    <row r="234" spans="1:51" ht="12.75">
      <c r="A234" s="71"/>
      <c r="B234" s="119">
        <v>18</v>
      </c>
      <c r="C234" s="37"/>
      <c r="D234" s="33"/>
      <c r="E234" s="88"/>
      <c r="F234" s="79"/>
      <c r="G234" s="8" t="s">
        <v>11</v>
      </c>
      <c r="H234" s="42">
        <v>12755.47</v>
      </c>
      <c r="I234" s="20">
        <v>3219.82</v>
      </c>
      <c r="J234" s="20"/>
      <c r="K234" s="42"/>
      <c r="L234" s="42"/>
      <c r="M234" s="42"/>
      <c r="N234" s="41">
        <f t="shared" si="39"/>
        <v>160.991</v>
      </c>
      <c r="O234" s="68">
        <f t="shared" si="33"/>
        <v>0</v>
      </c>
      <c r="P234" s="9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57"/>
    </row>
    <row r="235" spans="1:51" ht="12.75">
      <c r="A235" s="71"/>
      <c r="B235" s="119">
        <v>18</v>
      </c>
      <c r="C235" s="37"/>
      <c r="D235" s="33"/>
      <c r="E235" s="88"/>
      <c r="F235" s="79"/>
      <c r="G235" s="8" t="s">
        <v>12</v>
      </c>
      <c r="H235" s="42">
        <v>12663.78</v>
      </c>
      <c r="I235" s="20">
        <v>6818.84</v>
      </c>
      <c r="J235" s="20"/>
      <c r="K235" s="42"/>
      <c r="L235" s="42"/>
      <c r="M235" s="42"/>
      <c r="N235" s="41">
        <f t="shared" si="39"/>
        <v>340.942</v>
      </c>
      <c r="O235" s="68">
        <f t="shared" si="33"/>
        <v>0</v>
      </c>
      <c r="P235" s="9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57"/>
    </row>
    <row r="236" spans="1:51" ht="12.75">
      <c r="A236" s="71"/>
      <c r="B236" s="119">
        <v>18</v>
      </c>
      <c r="C236" s="37"/>
      <c r="D236" s="33"/>
      <c r="E236" s="88"/>
      <c r="F236" s="79"/>
      <c r="G236" s="8" t="s">
        <v>13</v>
      </c>
      <c r="H236" s="42">
        <v>8684.75</v>
      </c>
      <c r="I236" s="20">
        <v>11213.73</v>
      </c>
      <c r="J236" s="20"/>
      <c r="K236" s="42"/>
      <c r="L236" s="42"/>
      <c r="M236" s="42"/>
      <c r="N236" s="41">
        <f t="shared" si="39"/>
        <v>560.6865</v>
      </c>
      <c r="O236" s="68">
        <f t="shared" si="33"/>
        <v>4902</v>
      </c>
      <c r="P236" s="9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>
        <v>4902</v>
      </c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57"/>
    </row>
    <row r="237" spans="1:51" ht="13.5" thickBot="1">
      <c r="A237" s="71"/>
      <c r="B237" s="122">
        <v>18</v>
      </c>
      <c r="C237" s="38"/>
      <c r="D237" s="35"/>
      <c r="E237" s="125"/>
      <c r="F237" s="80"/>
      <c r="G237" s="12" t="s">
        <v>14</v>
      </c>
      <c r="H237" s="42">
        <v>8684.75</v>
      </c>
      <c r="I237" s="21">
        <v>11684.12</v>
      </c>
      <c r="J237" s="66"/>
      <c r="K237" s="42"/>
      <c r="L237" s="42"/>
      <c r="M237" s="42"/>
      <c r="N237" s="41">
        <f t="shared" si="39"/>
        <v>584.206</v>
      </c>
      <c r="O237" s="68">
        <f t="shared" si="33"/>
        <v>0</v>
      </c>
      <c r="P237" s="108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128">
        <f>AY225+(I225-K225-L225-M225-N225)+J225-O225</f>
        <v>14664.752499999999</v>
      </c>
    </row>
    <row r="238" spans="1:51" ht="14.25" thickBot="1" thickTop="1">
      <c r="A238" s="71"/>
      <c r="B238" s="123">
        <v>19</v>
      </c>
      <c r="C238" s="73" t="s">
        <v>17</v>
      </c>
      <c r="D238" s="67">
        <v>62</v>
      </c>
      <c r="E238" s="145" t="s">
        <v>49</v>
      </c>
      <c r="F238" s="82">
        <v>1671.8</v>
      </c>
      <c r="G238" s="69"/>
      <c r="H238" s="69">
        <v>7981.92</v>
      </c>
      <c r="I238" s="70">
        <v>7696.62</v>
      </c>
      <c r="J238" s="70">
        <f>SUM(J239:J250)</f>
        <v>0</v>
      </c>
      <c r="K238" s="69">
        <f>SUM(K239:K250)</f>
        <v>0</v>
      </c>
      <c r="L238" s="69">
        <f>SUM(L239:L250)</f>
        <v>0</v>
      </c>
      <c r="M238" s="69">
        <f>SUM(M239:M250)</f>
        <v>0</v>
      </c>
      <c r="N238" s="69">
        <f>SUM(N239:N250)</f>
        <v>384.831</v>
      </c>
      <c r="O238" s="16">
        <f t="shared" si="33"/>
        <v>5575.07</v>
      </c>
      <c r="P238" s="109"/>
      <c r="Q238" s="16">
        <f aca="true" t="shared" si="40" ref="Q238:AX238">SUM(Q239:Q250)</f>
        <v>0</v>
      </c>
      <c r="R238" s="16">
        <f t="shared" si="40"/>
        <v>760</v>
      </c>
      <c r="S238" s="16">
        <f t="shared" si="40"/>
        <v>0</v>
      </c>
      <c r="T238" s="16">
        <f t="shared" si="40"/>
        <v>0</v>
      </c>
      <c r="U238" s="16">
        <f t="shared" si="40"/>
        <v>0</v>
      </c>
      <c r="V238" s="16">
        <f t="shared" si="40"/>
        <v>0</v>
      </c>
      <c r="W238" s="16">
        <f t="shared" si="40"/>
        <v>0</v>
      </c>
      <c r="X238" s="16">
        <f t="shared" si="40"/>
        <v>0</v>
      </c>
      <c r="Y238" s="11">
        <f t="shared" si="40"/>
        <v>0</v>
      </c>
      <c r="Z238" s="11">
        <f t="shared" si="40"/>
        <v>0</v>
      </c>
      <c r="AA238" s="11">
        <f t="shared" si="40"/>
        <v>0</v>
      </c>
      <c r="AB238" s="11">
        <f t="shared" si="40"/>
        <v>0</v>
      </c>
      <c r="AC238" s="11">
        <f t="shared" si="40"/>
        <v>0</v>
      </c>
      <c r="AD238" s="11">
        <f t="shared" si="40"/>
        <v>0</v>
      </c>
      <c r="AE238" s="11">
        <f t="shared" si="40"/>
        <v>0</v>
      </c>
      <c r="AF238" s="11">
        <f t="shared" si="40"/>
        <v>0</v>
      </c>
      <c r="AG238" s="11">
        <f t="shared" si="40"/>
        <v>0</v>
      </c>
      <c r="AH238" s="11">
        <f t="shared" si="40"/>
        <v>0</v>
      </c>
      <c r="AI238" s="11">
        <f t="shared" si="40"/>
        <v>1107</v>
      </c>
      <c r="AJ238" s="11">
        <f t="shared" si="40"/>
        <v>0</v>
      </c>
      <c r="AK238" s="11">
        <f t="shared" si="40"/>
        <v>0</v>
      </c>
      <c r="AL238" s="11">
        <f t="shared" si="40"/>
        <v>0</v>
      </c>
      <c r="AM238" s="11">
        <f t="shared" si="40"/>
        <v>0</v>
      </c>
      <c r="AN238" s="11">
        <f t="shared" si="40"/>
        <v>0</v>
      </c>
      <c r="AO238" s="11">
        <f>SUM(AO239:AO250)</f>
        <v>0</v>
      </c>
      <c r="AP238" s="11">
        <f t="shared" si="40"/>
        <v>0</v>
      </c>
      <c r="AQ238" s="11">
        <f t="shared" si="40"/>
        <v>0</v>
      </c>
      <c r="AR238" s="11">
        <f t="shared" si="40"/>
        <v>0</v>
      </c>
      <c r="AS238" s="11">
        <f t="shared" si="40"/>
        <v>0</v>
      </c>
      <c r="AT238" s="11">
        <f t="shared" si="40"/>
        <v>0</v>
      </c>
      <c r="AU238" s="11">
        <f t="shared" si="40"/>
        <v>0</v>
      </c>
      <c r="AV238" s="11">
        <f t="shared" si="40"/>
        <v>0</v>
      </c>
      <c r="AW238" s="11">
        <f t="shared" si="40"/>
        <v>0</v>
      </c>
      <c r="AX238" s="11">
        <f t="shared" si="40"/>
        <v>3708.07</v>
      </c>
      <c r="AY238" s="127">
        <v>-81045.45</v>
      </c>
    </row>
    <row r="239" spans="1:51" ht="13.5" thickTop="1">
      <c r="A239" s="71"/>
      <c r="B239" s="119">
        <v>19</v>
      </c>
      <c r="C239" s="36" t="s">
        <v>73</v>
      </c>
      <c r="D239" s="31"/>
      <c r="E239" s="90" t="s">
        <v>93</v>
      </c>
      <c r="F239" s="78"/>
      <c r="G239" s="9" t="s">
        <v>3</v>
      </c>
      <c r="H239" s="41">
        <v>0</v>
      </c>
      <c r="I239" s="19">
        <v>0</v>
      </c>
      <c r="J239" s="19"/>
      <c r="K239" s="41"/>
      <c r="L239" s="41"/>
      <c r="M239" s="41">
        <v>0</v>
      </c>
      <c r="N239" s="41">
        <f aca="true" t="shared" si="41" ref="N239:N250">I239*0.05</f>
        <v>0</v>
      </c>
      <c r="O239" s="68">
        <f t="shared" si="33"/>
        <v>457</v>
      </c>
      <c r="P239" s="176"/>
      <c r="Q239" s="39"/>
      <c r="R239" s="39">
        <v>457</v>
      </c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132"/>
    </row>
    <row r="240" spans="1:51" ht="12.75">
      <c r="A240" s="71"/>
      <c r="B240" s="119">
        <v>19</v>
      </c>
      <c r="C240" s="37"/>
      <c r="D240" s="33"/>
      <c r="E240" s="90" t="s">
        <v>120</v>
      </c>
      <c r="F240" s="79"/>
      <c r="G240" s="8" t="s">
        <v>4</v>
      </c>
      <c r="H240" s="42">
        <v>0</v>
      </c>
      <c r="I240" s="20">
        <v>0</v>
      </c>
      <c r="J240" s="20"/>
      <c r="K240" s="42"/>
      <c r="L240" s="42"/>
      <c r="M240" s="42"/>
      <c r="N240" s="41">
        <f t="shared" si="41"/>
        <v>0</v>
      </c>
      <c r="O240" s="68">
        <f t="shared" si="33"/>
        <v>303</v>
      </c>
      <c r="P240" s="95"/>
      <c r="Q240" s="72"/>
      <c r="R240" s="48">
        <v>303</v>
      </c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57"/>
    </row>
    <row r="241" spans="1:51" ht="12.75">
      <c r="A241" s="71"/>
      <c r="B241" s="119">
        <v>19</v>
      </c>
      <c r="C241" s="37"/>
      <c r="D241" s="33"/>
      <c r="E241" s="88" t="s">
        <v>109</v>
      </c>
      <c r="F241" s="79"/>
      <c r="G241" s="8" t="s">
        <v>5</v>
      </c>
      <c r="H241" s="42">
        <v>0</v>
      </c>
      <c r="I241" s="20">
        <v>0</v>
      </c>
      <c r="J241" s="20"/>
      <c r="K241" s="42"/>
      <c r="L241" s="42"/>
      <c r="M241" s="42"/>
      <c r="N241" s="41">
        <f t="shared" si="41"/>
        <v>0</v>
      </c>
      <c r="O241" s="68">
        <f t="shared" si="33"/>
        <v>0</v>
      </c>
      <c r="P241" s="176"/>
      <c r="Q241" s="72"/>
      <c r="R241" s="72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57"/>
    </row>
    <row r="242" spans="1:51" ht="12.75">
      <c r="A242" s="71"/>
      <c r="B242" s="119">
        <v>19</v>
      </c>
      <c r="C242" s="37"/>
      <c r="D242" s="33"/>
      <c r="E242" s="88"/>
      <c r="F242" s="79"/>
      <c r="G242" s="8" t="s">
        <v>6</v>
      </c>
      <c r="H242" s="42">
        <v>0</v>
      </c>
      <c r="I242" s="20">
        <v>0</v>
      </c>
      <c r="J242" s="20"/>
      <c r="K242" s="42"/>
      <c r="L242" s="42"/>
      <c r="M242" s="42"/>
      <c r="N242" s="41">
        <f t="shared" si="41"/>
        <v>0</v>
      </c>
      <c r="O242" s="68">
        <f t="shared" si="33"/>
        <v>0</v>
      </c>
      <c r="P242" s="9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57"/>
    </row>
    <row r="243" spans="1:51" ht="12.75">
      <c r="A243" s="71"/>
      <c r="B243" s="119">
        <v>19</v>
      </c>
      <c r="C243" s="37"/>
      <c r="D243" s="33"/>
      <c r="E243" s="88"/>
      <c r="F243" s="79"/>
      <c r="G243" s="8" t="s">
        <v>7</v>
      </c>
      <c r="H243" s="42">
        <v>0</v>
      </c>
      <c r="I243" s="20">
        <v>0</v>
      </c>
      <c r="J243" s="20"/>
      <c r="K243" s="42"/>
      <c r="L243" s="42"/>
      <c r="M243" s="42"/>
      <c r="N243" s="41">
        <f t="shared" si="41"/>
        <v>0</v>
      </c>
      <c r="O243" s="68">
        <f t="shared" si="33"/>
        <v>0</v>
      </c>
      <c r="P243" s="9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57"/>
    </row>
    <row r="244" spans="1:51" ht="12.75">
      <c r="A244" s="71"/>
      <c r="B244" s="119">
        <v>19</v>
      </c>
      <c r="C244" s="37"/>
      <c r="D244" s="33"/>
      <c r="E244" s="88"/>
      <c r="F244" s="79"/>
      <c r="G244" s="8" t="s">
        <v>8</v>
      </c>
      <c r="H244" s="42">
        <v>0</v>
      </c>
      <c r="I244" s="20">
        <v>0</v>
      </c>
      <c r="J244" s="20"/>
      <c r="K244" s="42"/>
      <c r="L244" s="42"/>
      <c r="M244" s="42"/>
      <c r="N244" s="41">
        <f t="shared" si="41"/>
        <v>0</v>
      </c>
      <c r="O244" s="68">
        <f t="shared" si="33"/>
        <v>1107</v>
      </c>
      <c r="P244" s="98" t="s">
        <v>265</v>
      </c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>
        <v>1107</v>
      </c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57"/>
    </row>
    <row r="245" spans="1:51" ht="12.75">
      <c r="A245" s="71"/>
      <c r="B245" s="119">
        <v>19</v>
      </c>
      <c r="C245" s="37"/>
      <c r="D245" s="33"/>
      <c r="E245" s="88"/>
      <c r="F245" s="79"/>
      <c r="G245" s="8" t="s">
        <v>9</v>
      </c>
      <c r="H245" s="42">
        <v>0</v>
      </c>
      <c r="I245" s="20">
        <v>0</v>
      </c>
      <c r="J245" s="20"/>
      <c r="K245" s="42"/>
      <c r="L245" s="42"/>
      <c r="M245" s="42"/>
      <c r="N245" s="41">
        <f t="shared" si="41"/>
        <v>0</v>
      </c>
      <c r="O245" s="68">
        <f t="shared" si="33"/>
        <v>3708.07</v>
      </c>
      <c r="P245" s="9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>
        <v>3708.07</v>
      </c>
      <c r="AY245" s="57"/>
    </row>
    <row r="246" spans="1:51" ht="12.75">
      <c r="A246" s="71"/>
      <c r="B246" s="119">
        <v>19</v>
      </c>
      <c r="C246" s="37"/>
      <c r="D246" s="33"/>
      <c r="E246" s="88"/>
      <c r="F246" s="79"/>
      <c r="G246" s="8" t="s">
        <v>10</v>
      </c>
      <c r="H246" s="42">
        <v>0</v>
      </c>
      <c r="I246" s="20">
        <v>0</v>
      </c>
      <c r="J246" s="20"/>
      <c r="K246" s="42"/>
      <c r="L246" s="42"/>
      <c r="M246" s="42"/>
      <c r="N246" s="41">
        <f t="shared" si="41"/>
        <v>0</v>
      </c>
      <c r="O246" s="68">
        <f t="shared" si="33"/>
        <v>0</v>
      </c>
      <c r="P246" s="94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57"/>
    </row>
    <row r="247" spans="1:51" ht="12.75">
      <c r="A247" s="71"/>
      <c r="B247" s="119">
        <v>19</v>
      </c>
      <c r="C247" s="37"/>
      <c r="D247" s="33"/>
      <c r="E247" s="88"/>
      <c r="F247" s="79"/>
      <c r="G247" s="8" t="s">
        <v>11</v>
      </c>
      <c r="H247" s="42">
        <v>0</v>
      </c>
      <c r="I247" s="20">
        <v>0</v>
      </c>
      <c r="J247" s="20"/>
      <c r="K247" s="42"/>
      <c r="L247" s="42"/>
      <c r="M247" s="42"/>
      <c r="N247" s="41">
        <f t="shared" si="41"/>
        <v>0</v>
      </c>
      <c r="O247" s="68">
        <f t="shared" si="33"/>
        <v>0</v>
      </c>
      <c r="P247" s="9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57"/>
    </row>
    <row r="248" spans="1:51" ht="12.75">
      <c r="A248" s="71"/>
      <c r="B248" s="119">
        <v>19</v>
      </c>
      <c r="C248" s="37"/>
      <c r="D248" s="33"/>
      <c r="E248" s="88"/>
      <c r="F248" s="79"/>
      <c r="G248" s="8" t="s">
        <v>12</v>
      </c>
      <c r="H248" s="42">
        <v>3990.96</v>
      </c>
      <c r="I248" s="20">
        <v>1019.54</v>
      </c>
      <c r="J248" s="20"/>
      <c r="K248" s="42"/>
      <c r="L248" s="42"/>
      <c r="M248" s="42"/>
      <c r="N248" s="41">
        <f t="shared" si="41"/>
        <v>50.977000000000004</v>
      </c>
      <c r="O248" s="68">
        <f t="shared" si="33"/>
        <v>0</v>
      </c>
      <c r="P248" s="9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57"/>
    </row>
    <row r="249" spans="1:51" ht="12.75">
      <c r="A249" s="71"/>
      <c r="B249" s="119">
        <v>19</v>
      </c>
      <c r="C249" s="37"/>
      <c r="D249" s="33"/>
      <c r="E249" s="88"/>
      <c r="F249" s="79"/>
      <c r="G249" s="8" t="s">
        <v>13</v>
      </c>
      <c r="H249" s="42">
        <v>1995.48</v>
      </c>
      <c r="I249" s="20">
        <v>3162.58</v>
      </c>
      <c r="J249" s="20"/>
      <c r="K249" s="42"/>
      <c r="L249" s="42"/>
      <c r="M249" s="42"/>
      <c r="N249" s="41">
        <f t="shared" si="41"/>
        <v>158.12900000000002</v>
      </c>
      <c r="O249" s="68">
        <f t="shared" si="33"/>
        <v>0</v>
      </c>
      <c r="P249" s="9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57"/>
    </row>
    <row r="250" spans="1:51" ht="13.5" thickBot="1">
      <c r="A250" s="71"/>
      <c r="B250" s="122">
        <v>19</v>
      </c>
      <c r="C250" s="38"/>
      <c r="D250" s="35"/>
      <c r="E250" s="125"/>
      <c r="F250" s="80"/>
      <c r="G250" s="12" t="s">
        <v>14</v>
      </c>
      <c r="H250" s="43">
        <v>1995.48</v>
      </c>
      <c r="I250" s="21">
        <v>3514.5</v>
      </c>
      <c r="J250" s="66"/>
      <c r="K250" s="43"/>
      <c r="L250" s="43"/>
      <c r="M250" s="43"/>
      <c r="N250" s="41">
        <f t="shared" si="41"/>
        <v>175.72500000000002</v>
      </c>
      <c r="O250" s="68">
        <f t="shared" si="33"/>
        <v>0</v>
      </c>
      <c r="P250" s="108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128">
        <f>AY238+(I238-K238-L238-M238-N238)+J238-O238</f>
        <v>-79308.731</v>
      </c>
    </row>
    <row r="251" spans="1:51" ht="14.25" thickBot="1" thickTop="1">
      <c r="A251" s="71"/>
      <c r="B251" s="123">
        <v>20</v>
      </c>
      <c r="C251" s="73" t="s">
        <v>17</v>
      </c>
      <c r="D251" s="67">
        <v>54</v>
      </c>
      <c r="E251" s="145" t="s">
        <v>52</v>
      </c>
      <c r="F251" s="84">
        <v>1515.8</v>
      </c>
      <c r="G251" s="50"/>
      <c r="H251" s="69">
        <v>2662.21</v>
      </c>
      <c r="I251" s="70">
        <v>2125.01</v>
      </c>
      <c r="J251" s="70">
        <f>SUM(J252:J263)</f>
        <v>0</v>
      </c>
      <c r="K251" s="69">
        <f>SUM(K252:K263)</f>
        <v>0</v>
      </c>
      <c r="L251" s="69">
        <f>SUM(L252:L263)</f>
        <v>0</v>
      </c>
      <c r="M251" s="69">
        <f>SUM(M252:M263)</f>
        <v>0</v>
      </c>
      <c r="N251" s="69">
        <f>SUM(N252:N263)</f>
        <v>106.2505</v>
      </c>
      <c r="O251" s="16">
        <f t="shared" si="33"/>
        <v>79288.07</v>
      </c>
      <c r="P251" s="109"/>
      <c r="Q251" s="16">
        <f aca="true" t="shared" si="42" ref="Q251:AX251">SUM(Q252:Q263)</f>
        <v>0</v>
      </c>
      <c r="R251" s="16">
        <f t="shared" si="42"/>
        <v>1216</v>
      </c>
      <c r="S251" s="16">
        <f t="shared" si="42"/>
        <v>0</v>
      </c>
      <c r="T251" s="16">
        <f t="shared" si="42"/>
        <v>0</v>
      </c>
      <c r="U251" s="16">
        <f t="shared" si="42"/>
        <v>0</v>
      </c>
      <c r="V251" s="16">
        <f t="shared" si="42"/>
        <v>0</v>
      </c>
      <c r="W251" s="16">
        <f t="shared" si="42"/>
        <v>0</v>
      </c>
      <c r="X251" s="16">
        <f t="shared" si="42"/>
        <v>0</v>
      </c>
      <c r="Y251" s="11">
        <f t="shared" si="42"/>
        <v>0</v>
      </c>
      <c r="Z251" s="11">
        <f t="shared" si="42"/>
        <v>0</v>
      </c>
      <c r="AA251" s="11">
        <f t="shared" si="42"/>
        <v>74364</v>
      </c>
      <c r="AB251" s="11">
        <f t="shared" si="42"/>
        <v>0</v>
      </c>
      <c r="AC251" s="11">
        <f t="shared" si="42"/>
        <v>0</v>
      </c>
      <c r="AD251" s="11">
        <f t="shared" si="42"/>
        <v>0</v>
      </c>
      <c r="AE251" s="11">
        <f t="shared" si="42"/>
        <v>0</v>
      </c>
      <c r="AF251" s="11">
        <f t="shared" si="42"/>
        <v>0</v>
      </c>
      <c r="AG251" s="11">
        <f t="shared" si="42"/>
        <v>0</v>
      </c>
      <c r="AH251" s="11">
        <f t="shared" si="42"/>
        <v>0</v>
      </c>
      <c r="AI251" s="11">
        <f t="shared" si="42"/>
        <v>0</v>
      </c>
      <c r="AJ251" s="11">
        <f t="shared" si="42"/>
        <v>0</v>
      </c>
      <c r="AK251" s="11">
        <f t="shared" si="42"/>
        <v>0</v>
      </c>
      <c r="AL251" s="11">
        <f t="shared" si="42"/>
        <v>0</v>
      </c>
      <c r="AM251" s="11">
        <f t="shared" si="42"/>
        <v>0</v>
      </c>
      <c r="AN251" s="11">
        <f t="shared" si="42"/>
        <v>0</v>
      </c>
      <c r="AO251" s="11">
        <f>SUM(AO252:AO263)</f>
        <v>0</v>
      </c>
      <c r="AP251" s="11">
        <f t="shared" si="42"/>
        <v>0</v>
      </c>
      <c r="AQ251" s="11">
        <f t="shared" si="42"/>
        <v>0</v>
      </c>
      <c r="AR251" s="11">
        <f t="shared" si="42"/>
        <v>0</v>
      </c>
      <c r="AS251" s="11">
        <f t="shared" si="42"/>
        <v>0</v>
      </c>
      <c r="AT251" s="11">
        <f t="shared" si="42"/>
        <v>0</v>
      </c>
      <c r="AU251" s="11">
        <f t="shared" si="42"/>
        <v>0</v>
      </c>
      <c r="AV251" s="11">
        <f t="shared" si="42"/>
        <v>0</v>
      </c>
      <c r="AW251" s="11">
        <f t="shared" si="42"/>
        <v>0</v>
      </c>
      <c r="AX251" s="11">
        <f t="shared" si="42"/>
        <v>3708.07</v>
      </c>
      <c r="AY251" s="127">
        <v>-4314</v>
      </c>
    </row>
    <row r="252" spans="1:51" ht="13.5" thickTop="1">
      <c r="A252" s="71"/>
      <c r="B252" s="119">
        <v>20</v>
      </c>
      <c r="C252" s="36" t="s">
        <v>74</v>
      </c>
      <c r="D252" s="31"/>
      <c r="E252" s="90" t="s">
        <v>103</v>
      </c>
      <c r="F252" s="85"/>
      <c r="G252" s="61" t="s">
        <v>3</v>
      </c>
      <c r="H252" s="41">
        <v>0</v>
      </c>
      <c r="I252" s="19">
        <v>0</v>
      </c>
      <c r="J252" s="19"/>
      <c r="K252" s="41"/>
      <c r="L252" s="41"/>
      <c r="M252" s="41">
        <v>0</v>
      </c>
      <c r="N252" s="41">
        <f aca="true" t="shared" si="43" ref="N252:N263">I252*0.05</f>
        <v>0</v>
      </c>
      <c r="O252" s="68">
        <f t="shared" si="33"/>
        <v>457</v>
      </c>
      <c r="P252" s="107"/>
      <c r="Q252" s="39"/>
      <c r="R252" s="39">
        <v>457</v>
      </c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132"/>
    </row>
    <row r="253" spans="1:51" ht="12.75">
      <c r="A253" s="71"/>
      <c r="B253" s="119">
        <v>20</v>
      </c>
      <c r="C253" s="37"/>
      <c r="D253" s="33"/>
      <c r="E253" s="90" t="s">
        <v>117</v>
      </c>
      <c r="F253" s="86"/>
      <c r="G253" s="62" t="s">
        <v>4</v>
      </c>
      <c r="H253" s="41">
        <v>0</v>
      </c>
      <c r="I253" s="20">
        <v>0</v>
      </c>
      <c r="J253" s="20"/>
      <c r="K253" s="41"/>
      <c r="L253" s="41"/>
      <c r="M253" s="41"/>
      <c r="N253" s="41">
        <f t="shared" si="43"/>
        <v>0</v>
      </c>
      <c r="O253" s="68">
        <f t="shared" si="33"/>
        <v>759</v>
      </c>
      <c r="P253" s="95"/>
      <c r="Q253" s="72"/>
      <c r="R253" s="48">
        <v>759</v>
      </c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57"/>
    </row>
    <row r="254" spans="1:51" ht="12.75">
      <c r="A254" s="71"/>
      <c r="B254" s="119">
        <v>20</v>
      </c>
      <c r="C254" s="37"/>
      <c r="D254" s="33"/>
      <c r="E254" s="88" t="s">
        <v>109</v>
      </c>
      <c r="F254" s="86"/>
      <c r="G254" s="8" t="s">
        <v>5</v>
      </c>
      <c r="H254" s="41">
        <v>0</v>
      </c>
      <c r="I254" s="20">
        <v>0</v>
      </c>
      <c r="J254" s="20"/>
      <c r="K254" s="41"/>
      <c r="L254" s="41"/>
      <c r="M254" s="41"/>
      <c r="N254" s="41">
        <f t="shared" si="43"/>
        <v>0</v>
      </c>
      <c r="O254" s="68">
        <f t="shared" si="33"/>
        <v>0</v>
      </c>
      <c r="P254" s="98"/>
      <c r="Q254" s="72"/>
      <c r="R254" s="72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57"/>
    </row>
    <row r="255" spans="1:51" ht="12.75">
      <c r="A255" s="71"/>
      <c r="B255" s="119">
        <v>20</v>
      </c>
      <c r="C255" s="37"/>
      <c r="D255" s="33"/>
      <c r="E255" s="88"/>
      <c r="F255" s="86"/>
      <c r="G255" s="8" t="s">
        <v>6</v>
      </c>
      <c r="H255" s="41">
        <v>0</v>
      </c>
      <c r="I255" s="20">
        <v>0</v>
      </c>
      <c r="J255" s="20"/>
      <c r="K255" s="41"/>
      <c r="L255" s="41"/>
      <c r="M255" s="41"/>
      <c r="N255" s="41">
        <f t="shared" si="43"/>
        <v>0</v>
      </c>
      <c r="O255" s="68">
        <f t="shared" si="33"/>
        <v>0</v>
      </c>
      <c r="P255" s="9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57"/>
    </row>
    <row r="256" spans="1:51" ht="12.75">
      <c r="A256" s="71"/>
      <c r="B256" s="119">
        <v>20</v>
      </c>
      <c r="C256" s="37"/>
      <c r="D256" s="33"/>
      <c r="E256" s="88"/>
      <c r="F256" s="86"/>
      <c r="G256" s="8" t="s">
        <v>7</v>
      </c>
      <c r="H256" s="41">
        <v>0</v>
      </c>
      <c r="I256" s="20">
        <v>0</v>
      </c>
      <c r="J256" s="20"/>
      <c r="K256" s="41"/>
      <c r="L256" s="41"/>
      <c r="M256" s="41"/>
      <c r="N256" s="41">
        <f t="shared" si="43"/>
        <v>0</v>
      </c>
      <c r="O256" s="68">
        <f t="shared" si="33"/>
        <v>0</v>
      </c>
      <c r="P256" s="9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57"/>
    </row>
    <row r="257" spans="1:51" ht="12.75">
      <c r="A257" s="71"/>
      <c r="B257" s="119">
        <v>20</v>
      </c>
      <c r="C257" s="37"/>
      <c r="D257" s="33"/>
      <c r="E257" s="88"/>
      <c r="F257" s="86"/>
      <c r="G257" s="8" t="s">
        <v>8</v>
      </c>
      <c r="H257" s="41">
        <v>0</v>
      </c>
      <c r="I257" s="20">
        <v>0</v>
      </c>
      <c r="J257" s="20"/>
      <c r="K257" s="41"/>
      <c r="L257" s="41"/>
      <c r="M257" s="41"/>
      <c r="N257" s="41">
        <f t="shared" si="43"/>
        <v>0</v>
      </c>
      <c r="O257" s="68">
        <f t="shared" si="33"/>
        <v>0</v>
      </c>
      <c r="P257" s="9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57"/>
    </row>
    <row r="258" spans="1:51" ht="12.75">
      <c r="A258" s="71"/>
      <c r="B258" s="119">
        <v>20</v>
      </c>
      <c r="C258" s="37"/>
      <c r="D258" s="33"/>
      <c r="E258" s="88"/>
      <c r="F258" s="86"/>
      <c r="G258" s="8" t="s">
        <v>9</v>
      </c>
      <c r="H258" s="41">
        <v>0</v>
      </c>
      <c r="I258" s="20">
        <v>0</v>
      </c>
      <c r="J258" s="20"/>
      <c r="K258" s="41"/>
      <c r="L258" s="41"/>
      <c r="M258" s="41"/>
      <c r="N258" s="41">
        <f t="shared" si="43"/>
        <v>0</v>
      </c>
      <c r="O258" s="68">
        <f t="shared" si="33"/>
        <v>0</v>
      </c>
      <c r="P258" s="9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57"/>
    </row>
    <row r="259" spans="1:51" ht="12.75">
      <c r="A259" s="71"/>
      <c r="B259" s="119">
        <v>20</v>
      </c>
      <c r="C259" s="37"/>
      <c r="D259" s="33"/>
      <c r="E259" s="88"/>
      <c r="F259" s="86"/>
      <c r="G259" s="8" t="s">
        <v>10</v>
      </c>
      <c r="H259" s="41">
        <v>0</v>
      </c>
      <c r="I259" s="20">
        <v>0</v>
      </c>
      <c r="J259" s="20"/>
      <c r="K259" s="41"/>
      <c r="L259" s="41"/>
      <c r="M259" s="41"/>
      <c r="N259" s="41">
        <f t="shared" si="43"/>
        <v>0</v>
      </c>
      <c r="O259" s="68">
        <f t="shared" si="33"/>
        <v>3708.07</v>
      </c>
      <c r="P259" s="94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>
        <v>3708.07</v>
      </c>
      <c r="AY259" s="57"/>
    </row>
    <row r="260" spans="1:51" ht="12.75">
      <c r="A260" s="71"/>
      <c r="B260" s="119">
        <v>20</v>
      </c>
      <c r="C260" s="37"/>
      <c r="D260" s="33"/>
      <c r="E260" s="88"/>
      <c r="F260" s="86"/>
      <c r="G260" s="8" t="s">
        <v>11</v>
      </c>
      <c r="H260" s="41">
        <v>0</v>
      </c>
      <c r="I260" s="20">
        <v>0</v>
      </c>
      <c r="J260" s="20"/>
      <c r="K260" s="41"/>
      <c r="L260" s="41"/>
      <c r="M260" s="41"/>
      <c r="N260" s="41">
        <f t="shared" si="43"/>
        <v>0</v>
      </c>
      <c r="O260" s="68">
        <f aca="true" t="shared" si="44" ref="O260:O328">SUM(Q260:AX260)</f>
        <v>0</v>
      </c>
      <c r="P260" s="9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57"/>
    </row>
    <row r="261" spans="1:51" ht="12.75">
      <c r="A261" s="71"/>
      <c r="B261" s="119">
        <v>20</v>
      </c>
      <c r="C261" s="37"/>
      <c r="D261" s="33"/>
      <c r="E261" s="88"/>
      <c r="F261" s="86"/>
      <c r="G261" s="8" t="s">
        <v>12</v>
      </c>
      <c r="H261" s="41">
        <v>1313.46</v>
      </c>
      <c r="I261" s="20">
        <v>90.54</v>
      </c>
      <c r="J261" s="20"/>
      <c r="K261" s="41"/>
      <c r="L261" s="41"/>
      <c r="M261" s="41"/>
      <c r="N261" s="41">
        <f t="shared" si="43"/>
        <v>4.527</v>
      </c>
      <c r="O261" s="68">
        <f t="shared" si="44"/>
        <v>0</v>
      </c>
      <c r="P261" s="9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57"/>
    </row>
    <row r="262" spans="1:51" ht="12.75">
      <c r="A262" s="71"/>
      <c r="B262" s="119">
        <v>20</v>
      </c>
      <c r="C262" s="37"/>
      <c r="D262" s="33"/>
      <c r="E262" s="88"/>
      <c r="F262" s="86"/>
      <c r="G262" s="8" t="s">
        <v>13</v>
      </c>
      <c r="H262" s="41">
        <v>674.47</v>
      </c>
      <c r="I262" s="20">
        <v>901.2</v>
      </c>
      <c r="J262" s="20"/>
      <c r="K262" s="41"/>
      <c r="L262" s="41"/>
      <c r="M262" s="41"/>
      <c r="N262" s="41">
        <f t="shared" si="43"/>
        <v>45.06</v>
      </c>
      <c r="O262" s="68">
        <f t="shared" si="44"/>
        <v>74364</v>
      </c>
      <c r="P262" s="9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>
        <v>74364</v>
      </c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57"/>
    </row>
    <row r="263" spans="1:51" ht="13.5" thickBot="1">
      <c r="A263" s="71"/>
      <c r="B263" s="122">
        <v>20</v>
      </c>
      <c r="C263" s="38"/>
      <c r="D263" s="35"/>
      <c r="E263" s="125"/>
      <c r="F263" s="87"/>
      <c r="G263" s="12" t="s">
        <v>14</v>
      </c>
      <c r="H263" s="41">
        <v>674.28</v>
      </c>
      <c r="I263" s="21">
        <v>1133.27</v>
      </c>
      <c r="J263" s="66"/>
      <c r="K263" s="41"/>
      <c r="L263" s="41"/>
      <c r="M263" s="41"/>
      <c r="N263" s="41">
        <f t="shared" si="43"/>
        <v>56.6635</v>
      </c>
      <c r="O263" s="68">
        <f t="shared" si="44"/>
        <v>0</v>
      </c>
      <c r="P263" s="108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128">
        <f>AY251+(I251-K251-L251-M251-N251)+J251-O251</f>
        <v>-81583.3105</v>
      </c>
    </row>
    <row r="264" spans="1:51" ht="14.25" thickBot="1" thickTop="1">
      <c r="A264" s="71"/>
      <c r="B264" s="123">
        <v>21</v>
      </c>
      <c r="C264" s="73" t="s">
        <v>17</v>
      </c>
      <c r="D264" s="67">
        <v>58</v>
      </c>
      <c r="E264" s="145" t="s">
        <v>52</v>
      </c>
      <c r="F264" s="84">
        <v>1232.1</v>
      </c>
      <c r="G264" s="50"/>
      <c r="H264" s="69">
        <v>2678.56</v>
      </c>
      <c r="I264" s="70">
        <v>2154.55</v>
      </c>
      <c r="J264" s="70">
        <f>SUM(J265:J276)</f>
        <v>0</v>
      </c>
      <c r="K264" s="69">
        <f>SUM(K265:K276)</f>
        <v>0</v>
      </c>
      <c r="L264" s="69">
        <f>SUM(L265:L276)</f>
        <v>0</v>
      </c>
      <c r="M264" s="69">
        <f>SUM(M265:M276)</f>
        <v>0</v>
      </c>
      <c r="N264" s="69">
        <f>SUM(N265:N276)</f>
        <v>107.72750000000002</v>
      </c>
      <c r="O264" s="16">
        <f t="shared" si="44"/>
        <v>77934.07</v>
      </c>
      <c r="P264" s="109"/>
      <c r="Q264" s="16">
        <f aca="true" t="shared" si="45" ref="Q264:AX264">SUM(Q265:Q276)</f>
        <v>0</v>
      </c>
      <c r="R264" s="16">
        <f t="shared" si="45"/>
        <v>1062</v>
      </c>
      <c r="S264" s="16">
        <f t="shared" si="45"/>
        <v>0</v>
      </c>
      <c r="T264" s="16">
        <f t="shared" si="45"/>
        <v>0</v>
      </c>
      <c r="U264" s="16">
        <f t="shared" si="45"/>
        <v>0</v>
      </c>
      <c r="V264" s="16">
        <f t="shared" si="45"/>
        <v>0</v>
      </c>
      <c r="W264" s="16">
        <f t="shared" si="45"/>
        <v>0</v>
      </c>
      <c r="X264" s="16">
        <f t="shared" si="45"/>
        <v>0</v>
      </c>
      <c r="Y264" s="11">
        <f t="shared" si="45"/>
        <v>0</v>
      </c>
      <c r="Z264" s="11">
        <f t="shared" si="45"/>
        <v>0</v>
      </c>
      <c r="AA264" s="11">
        <f t="shared" si="45"/>
        <v>73164</v>
      </c>
      <c r="AB264" s="11">
        <f t="shared" si="45"/>
        <v>0</v>
      </c>
      <c r="AC264" s="11">
        <f t="shared" si="45"/>
        <v>0</v>
      </c>
      <c r="AD264" s="11">
        <f t="shared" si="45"/>
        <v>0</v>
      </c>
      <c r="AE264" s="11">
        <f t="shared" si="45"/>
        <v>0</v>
      </c>
      <c r="AF264" s="11">
        <f t="shared" si="45"/>
        <v>0</v>
      </c>
      <c r="AG264" s="11">
        <f t="shared" si="45"/>
        <v>0</v>
      </c>
      <c r="AH264" s="11">
        <f t="shared" si="45"/>
        <v>0</v>
      </c>
      <c r="AI264" s="11">
        <f t="shared" si="45"/>
        <v>0</v>
      </c>
      <c r="AJ264" s="11">
        <f t="shared" si="45"/>
        <v>0</v>
      </c>
      <c r="AK264" s="11">
        <f t="shared" si="45"/>
        <v>0</v>
      </c>
      <c r="AL264" s="11">
        <f t="shared" si="45"/>
        <v>0</v>
      </c>
      <c r="AM264" s="11">
        <f t="shared" si="45"/>
        <v>0</v>
      </c>
      <c r="AN264" s="11">
        <f t="shared" si="45"/>
        <v>0</v>
      </c>
      <c r="AO264" s="11">
        <f>SUM(AO265:AO276)</f>
        <v>0</v>
      </c>
      <c r="AP264" s="11">
        <f t="shared" si="45"/>
        <v>0</v>
      </c>
      <c r="AQ264" s="11">
        <f t="shared" si="45"/>
        <v>0</v>
      </c>
      <c r="AR264" s="11">
        <f t="shared" si="45"/>
        <v>0</v>
      </c>
      <c r="AS264" s="11">
        <f t="shared" si="45"/>
        <v>0</v>
      </c>
      <c r="AT264" s="11">
        <f t="shared" si="45"/>
        <v>0</v>
      </c>
      <c r="AU264" s="11">
        <f t="shared" si="45"/>
        <v>0</v>
      </c>
      <c r="AV264" s="11">
        <f t="shared" si="45"/>
        <v>0</v>
      </c>
      <c r="AW264" s="11">
        <f t="shared" si="45"/>
        <v>0</v>
      </c>
      <c r="AX264" s="11">
        <f t="shared" si="45"/>
        <v>3708.07</v>
      </c>
      <c r="AY264" s="127">
        <v>-24739.33</v>
      </c>
    </row>
    <row r="265" spans="1:51" ht="13.5" thickTop="1">
      <c r="A265" s="71"/>
      <c r="B265" s="119">
        <v>21</v>
      </c>
      <c r="C265" s="36" t="s">
        <v>74</v>
      </c>
      <c r="D265" s="31"/>
      <c r="E265" s="90" t="s">
        <v>102</v>
      </c>
      <c r="F265" s="85"/>
      <c r="G265" s="61" t="s">
        <v>3</v>
      </c>
      <c r="H265" s="41">
        <v>0</v>
      </c>
      <c r="I265" s="19">
        <v>96.8</v>
      </c>
      <c r="J265" s="19"/>
      <c r="K265" s="41"/>
      <c r="L265" s="41"/>
      <c r="M265" s="41">
        <v>0</v>
      </c>
      <c r="N265" s="41">
        <f aca="true" t="shared" si="46" ref="N265:N276">I265*0.05</f>
        <v>4.84</v>
      </c>
      <c r="O265" s="68">
        <f t="shared" si="44"/>
        <v>0</v>
      </c>
      <c r="P265" s="107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132"/>
    </row>
    <row r="266" spans="1:51" ht="12.75">
      <c r="A266" s="71"/>
      <c r="B266" s="119">
        <v>21</v>
      </c>
      <c r="C266" s="37"/>
      <c r="D266" s="33"/>
      <c r="E266" s="90" t="s">
        <v>119</v>
      </c>
      <c r="F266" s="86"/>
      <c r="G266" s="62" t="s">
        <v>4</v>
      </c>
      <c r="H266" s="41">
        <v>0</v>
      </c>
      <c r="I266" s="20">
        <v>0</v>
      </c>
      <c r="J266" s="20"/>
      <c r="K266" s="41"/>
      <c r="L266" s="41"/>
      <c r="M266" s="41"/>
      <c r="N266" s="41">
        <f t="shared" si="46"/>
        <v>0</v>
      </c>
      <c r="O266" s="68">
        <f t="shared" si="44"/>
        <v>1062</v>
      </c>
      <c r="P266" s="95"/>
      <c r="Q266" s="72"/>
      <c r="R266" s="48">
        <v>1062</v>
      </c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57"/>
    </row>
    <row r="267" spans="1:51" ht="12.75">
      <c r="A267" s="71"/>
      <c r="B267" s="119">
        <v>21</v>
      </c>
      <c r="C267" s="37"/>
      <c r="D267" s="33"/>
      <c r="E267" s="88" t="s">
        <v>109</v>
      </c>
      <c r="F267" s="86"/>
      <c r="G267" s="8" t="s">
        <v>5</v>
      </c>
      <c r="H267" s="41">
        <v>0</v>
      </c>
      <c r="I267" s="20">
        <v>0</v>
      </c>
      <c r="J267" s="20"/>
      <c r="K267" s="41"/>
      <c r="L267" s="41"/>
      <c r="M267" s="41"/>
      <c r="N267" s="41">
        <f t="shared" si="46"/>
        <v>0</v>
      </c>
      <c r="O267" s="68">
        <f t="shared" si="44"/>
        <v>0</v>
      </c>
      <c r="P267" s="176"/>
      <c r="Q267" s="72"/>
      <c r="R267" s="72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39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57"/>
    </row>
    <row r="268" spans="1:51" ht="12.75">
      <c r="A268" s="71"/>
      <c r="B268" s="119">
        <v>21</v>
      </c>
      <c r="C268" s="37"/>
      <c r="D268" s="33"/>
      <c r="E268" s="88"/>
      <c r="F268" s="86"/>
      <c r="G268" s="8" t="s">
        <v>6</v>
      </c>
      <c r="H268" s="41">
        <v>0</v>
      </c>
      <c r="I268" s="20">
        <v>0</v>
      </c>
      <c r="J268" s="20"/>
      <c r="K268" s="41"/>
      <c r="L268" s="41"/>
      <c r="M268" s="41"/>
      <c r="N268" s="41">
        <f t="shared" si="46"/>
        <v>0</v>
      </c>
      <c r="O268" s="68">
        <f t="shared" si="44"/>
        <v>0</v>
      </c>
      <c r="P268" s="9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57"/>
    </row>
    <row r="269" spans="1:51" ht="12.75">
      <c r="A269" s="71"/>
      <c r="B269" s="119">
        <v>21</v>
      </c>
      <c r="C269" s="37"/>
      <c r="D269" s="33"/>
      <c r="E269" s="88"/>
      <c r="F269" s="86"/>
      <c r="G269" s="8" t="s">
        <v>7</v>
      </c>
      <c r="H269" s="41">
        <v>0</v>
      </c>
      <c r="I269" s="20">
        <v>0</v>
      </c>
      <c r="J269" s="20"/>
      <c r="K269" s="41"/>
      <c r="L269" s="41"/>
      <c r="M269" s="41"/>
      <c r="N269" s="41">
        <f t="shared" si="46"/>
        <v>0</v>
      </c>
      <c r="O269" s="68">
        <f t="shared" si="44"/>
        <v>0</v>
      </c>
      <c r="P269" s="9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57"/>
    </row>
    <row r="270" spans="1:51" ht="12.75">
      <c r="A270" s="71"/>
      <c r="B270" s="119">
        <v>21</v>
      </c>
      <c r="C270" s="37"/>
      <c r="D270" s="33"/>
      <c r="E270" s="88"/>
      <c r="F270" s="86"/>
      <c r="G270" s="8" t="s">
        <v>8</v>
      </c>
      <c r="H270" s="41">
        <v>0</v>
      </c>
      <c r="I270" s="20">
        <v>0</v>
      </c>
      <c r="J270" s="20"/>
      <c r="K270" s="41"/>
      <c r="L270" s="41"/>
      <c r="M270" s="41"/>
      <c r="N270" s="41">
        <f t="shared" si="46"/>
        <v>0</v>
      </c>
      <c r="O270" s="68">
        <f t="shared" si="44"/>
        <v>0</v>
      </c>
      <c r="P270" s="9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57"/>
    </row>
    <row r="271" spans="1:51" ht="12.75">
      <c r="A271" s="71"/>
      <c r="B271" s="119">
        <v>21</v>
      </c>
      <c r="C271" s="37"/>
      <c r="D271" s="33"/>
      <c r="E271" s="88"/>
      <c r="F271" s="86"/>
      <c r="G271" s="8" t="s">
        <v>9</v>
      </c>
      <c r="H271" s="41">
        <v>0</v>
      </c>
      <c r="I271" s="20">
        <v>0</v>
      </c>
      <c r="J271" s="20"/>
      <c r="K271" s="41"/>
      <c r="L271" s="41"/>
      <c r="M271" s="41"/>
      <c r="N271" s="41">
        <f t="shared" si="46"/>
        <v>0</v>
      </c>
      <c r="O271" s="68">
        <f t="shared" si="44"/>
        <v>0</v>
      </c>
      <c r="P271" s="9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57"/>
    </row>
    <row r="272" spans="1:51" ht="12.75">
      <c r="A272" s="71"/>
      <c r="B272" s="119">
        <v>21</v>
      </c>
      <c r="C272" s="37"/>
      <c r="D272" s="33"/>
      <c r="E272" s="88"/>
      <c r="F272" s="86"/>
      <c r="G272" s="8" t="s">
        <v>10</v>
      </c>
      <c r="H272" s="41">
        <v>0</v>
      </c>
      <c r="I272" s="20">
        <v>0</v>
      </c>
      <c r="J272" s="20"/>
      <c r="K272" s="41"/>
      <c r="L272" s="41"/>
      <c r="M272" s="41"/>
      <c r="N272" s="41">
        <f t="shared" si="46"/>
        <v>0</v>
      </c>
      <c r="O272" s="68">
        <f t="shared" si="44"/>
        <v>0</v>
      </c>
      <c r="P272" s="94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57"/>
    </row>
    <row r="273" spans="1:51" ht="12.75">
      <c r="A273" s="71"/>
      <c r="B273" s="119">
        <v>21</v>
      </c>
      <c r="C273" s="37"/>
      <c r="D273" s="33"/>
      <c r="E273" s="88"/>
      <c r="F273" s="86"/>
      <c r="G273" s="8" t="s">
        <v>11</v>
      </c>
      <c r="H273" s="41">
        <v>0</v>
      </c>
      <c r="I273" s="20">
        <v>0</v>
      </c>
      <c r="J273" s="20"/>
      <c r="K273" s="41"/>
      <c r="L273" s="41"/>
      <c r="M273" s="41"/>
      <c r="N273" s="41">
        <f t="shared" si="46"/>
        <v>0</v>
      </c>
      <c r="O273" s="68">
        <f t="shared" si="44"/>
        <v>3708.07</v>
      </c>
      <c r="P273" s="9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>
        <v>3708.07</v>
      </c>
      <c r="AY273" s="57"/>
    </row>
    <row r="274" spans="1:51" ht="12.75">
      <c r="A274" s="71"/>
      <c r="B274" s="119">
        <v>21</v>
      </c>
      <c r="C274" s="37"/>
      <c r="D274" s="33"/>
      <c r="E274" s="88"/>
      <c r="F274" s="86"/>
      <c r="G274" s="8" t="s">
        <v>12</v>
      </c>
      <c r="H274" s="41">
        <v>1339.28</v>
      </c>
      <c r="I274" s="20">
        <v>123.93</v>
      </c>
      <c r="J274" s="20"/>
      <c r="K274" s="41"/>
      <c r="L274" s="41"/>
      <c r="M274" s="41"/>
      <c r="N274" s="41">
        <f t="shared" si="46"/>
        <v>6.1965</v>
      </c>
      <c r="O274" s="68">
        <f t="shared" si="44"/>
        <v>0</v>
      </c>
      <c r="P274" s="9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57"/>
    </row>
    <row r="275" spans="1:51" ht="12.75">
      <c r="A275" s="71"/>
      <c r="B275" s="119">
        <v>21</v>
      </c>
      <c r="C275" s="37"/>
      <c r="D275" s="33"/>
      <c r="E275" s="88"/>
      <c r="F275" s="86"/>
      <c r="G275" s="8" t="s">
        <v>13</v>
      </c>
      <c r="H275" s="41">
        <v>669.64</v>
      </c>
      <c r="I275" s="20">
        <v>1126.93</v>
      </c>
      <c r="J275" s="20"/>
      <c r="K275" s="41"/>
      <c r="L275" s="41"/>
      <c r="M275" s="41"/>
      <c r="N275" s="41">
        <f t="shared" si="46"/>
        <v>56.346500000000006</v>
      </c>
      <c r="O275" s="68">
        <f t="shared" si="44"/>
        <v>0</v>
      </c>
      <c r="P275" s="9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57"/>
    </row>
    <row r="276" spans="1:51" ht="13.5" thickBot="1">
      <c r="A276" s="71"/>
      <c r="B276" s="121">
        <v>21</v>
      </c>
      <c r="C276" s="38"/>
      <c r="D276" s="35"/>
      <c r="E276" s="125"/>
      <c r="F276" s="87"/>
      <c r="G276" s="12" t="s">
        <v>14</v>
      </c>
      <c r="H276" s="43">
        <v>669.64</v>
      </c>
      <c r="I276" s="21">
        <v>806.89</v>
      </c>
      <c r="J276" s="21"/>
      <c r="K276" s="43"/>
      <c r="L276" s="43"/>
      <c r="M276" s="43"/>
      <c r="N276" s="41">
        <f t="shared" si="46"/>
        <v>40.344500000000004</v>
      </c>
      <c r="O276" s="75">
        <f t="shared" si="44"/>
        <v>73164</v>
      </c>
      <c r="P276" s="108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>
        <v>73164</v>
      </c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128">
        <f>AY264+(I264-K264-L264-M264-N264)+J264-O264</f>
        <v>-100626.57750000001</v>
      </c>
    </row>
    <row r="277" spans="2:64" ht="14.25" thickBot="1" thickTop="1">
      <c r="B277" s="151">
        <v>22</v>
      </c>
      <c r="C277" s="147" t="s">
        <v>65</v>
      </c>
      <c r="D277" s="67">
        <v>22</v>
      </c>
      <c r="E277" s="145" t="s">
        <v>106</v>
      </c>
      <c r="F277" s="84">
        <v>2975.6</v>
      </c>
      <c r="G277" s="50"/>
      <c r="H277" s="69">
        <v>79541.13</v>
      </c>
      <c r="I277" s="69">
        <v>64088.82</v>
      </c>
      <c r="J277" s="69">
        <f>SUM(J278:J289)</f>
        <v>0</v>
      </c>
      <c r="K277" s="69">
        <f>SUM(K278:K289)</f>
        <v>0</v>
      </c>
      <c r="L277" s="69">
        <f>SUM(L278:L289)</f>
        <v>0</v>
      </c>
      <c r="M277" s="69">
        <f>SUM(M278:M289)</f>
        <v>1133.6</v>
      </c>
      <c r="N277" s="69">
        <f>SUM(N278:N289)</f>
        <v>3204.4410000000003</v>
      </c>
      <c r="O277" s="16">
        <f>SUM(Q277:AX277)</f>
        <v>81710.07</v>
      </c>
      <c r="P277" s="109"/>
      <c r="Q277" s="16">
        <f aca="true" t="shared" si="47" ref="Q277:AX277">SUM(Q278:Q289)</f>
        <v>7895</v>
      </c>
      <c r="R277" s="16">
        <f t="shared" si="47"/>
        <v>1136</v>
      </c>
      <c r="S277" s="16">
        <f t="shared" si="47"/>
        <v>3037</v>
      </c>
      <c r="T277" s="16">
        <f t="shared" si="47"/>
        <v>746</v>
      </c>
      <c r="U277" s="16">
        <f t="shared" si="47"/>
        <v>0</v>
      </c>
      <c r="V277" s="16">
        <f t="shared" si="47"/>
        <v>0</v>
      </c>
      <c r="W277" s="16">
        <f t="shared" si="47"/>
        <v>7108</v>
      </c>
      <c r="X277" s="16">
        <f t="shared" si="47"/>
        <v>2874</v>
      </c>
      <c r="Y277" s="11">
        <f t="shared" si="47"/>
        <v>0</v>
      </c>
      <c r="Z277" s="11">
        <f t="shared" si="47"/>
        <v>0</v>
      </c>
      <c r="AA277" s="11">
        <f t="shared" si="47"/>
        <v>36752</v>
      </c>
      <c r="AB277" s="11">
        <f t="shared" si="47"/>
        <v>1171</v>
      </c>
      <c r="AC277" s="11">
        <f t="shared" si="47"/>
        <v>0</v>
      </c>
      <c r="AD277" s="11">
        <f t="shared" si="47"/>
        <v>4819</v>
      </c>
      <c r="AE277" s="11">
        <f t="shared" si="47"/>
        <v>0</v>
      </c>
      <c r="AF277" s="11">
        <f t="shared" si="47"/>
        <v>1095</v>
      </c>
      <c r="AG277" s="11">
        <f t="shared" si="47"/>
        <v>5444</v>
      </c>
      <c r="AH277" s="11">
        <f t="shared" si="47"/>
        <v>0</v>
      </c>
      <c r="AI277" s="11">
        <f t="shared" si="47"/>
        <v>0</v>
      </c>
      <c r="AJ277" s="11">
        <f t="shared" si="47"/>
        <v>0</v>
      </c>
      <c r="AK277" s="11">
        <f t="shared" si="47"/>
        <v>0</v>
      </c>
      <c r="AL277" s="11">
        <f t="shared" si="47"/>
        <v>0</v>
      </c>
      <c r="AM277" s="11">
        <f t="shared" si="47"/>
        <v>0</v>
      </c>
      <c r="AN277" s="11">
        <f t="shared" si="47"/>
        <v>5925</v>
      </c>
      <c r="AO277" s="11">
        <f>SUM(AO278:AO289)</f>
        <v>0</v>
      </c>
      <c r="AP277" s="11">
        <f t="shared" si="47"/>
        <v>0</v>
      </c>
      <c r="AQ277" s="11">
        <f t="shared" si="47"/>
        <v>0</v>
      </c>
      <c r="AR277" s="11">
        <f t="shared" si="47"/>
        <v>0</v>
      </c>
      <c r="AS277" s="11">
        <f t="shared" si="47"/>
        <v>0</v>
      </c>
      <c r="AT277" s="11">
        <f t="shared" si="47"/>
        <v>0</v>
      </c>
      <c r="AU277" s="11">
        <f t="shared" si="47"/>
        <v>0</v>
      </c>
      <c r="AV277" s="11">
        <f t="shared" si="47"/>
        <v>0</v>
      </c>
      <c r="AW277" s="11">
        <f t="shared" si="47"/>
        <v>0</v>
      </c>
      <c r="AX277" s="11">
        <f t="shared" si="47"/>
        <v>3708.07</v>
      </c>
      <c r="AY277" s="127">
        <v>-14462.34</v>
      </c>
      <c r="AZ277"/>
      <c r="BA277"/>
      <c r="BB277"/>
      <c r="BC277"/>
      <c r="BD277"/>
      <c r="BE277"/>
      <c r="BF277"/>
      <c r="BG277"/>
      <c r="BH277"/>
      <c r="BI277"/>
      <c r="BJ277"/>
      <c r="BK277"/>
      <c r="BL277"/>
    </row>
    <row r="278" spans="2:64" ht="13.5" thickTop="1">
      <c r="B278" s="152">
        <v>22</v>
      </c>
      <c r="C278" s="36" t="s">
        <v>67</v>
      </c>
      <c r="D278" s="31"/>
      <c r="E278" s="90" t="s">
        <v>101</v>
      </c>
      <c r="F278" s="85"/>
      <c r="G278" s="61" t="s">
        <v>3</v>
      </c>
      <c r="H278" s="41">
        <v>0</v>
      </c>
      <c r="I278" s="85">
        <v>0</v>
      </c>
      <c r="J278" s="85"/>
      <c r="K278" s="41"/>
      <c r="L278" s="41"/>
      <c r="M278" s="41">
        <v>1133.6</v>
      </c>
      <c r="N278" s="41">
        <f aca="true" t="shared" si="48" ref="N278:N289">I278*0.05</f>
        <v>0</v>
      </c>
      <c r="O278" s="68">
        <f t="shared" si="44"/>
        <v>44647</v>
      </c>
      <c r="P278" s="195"/>
      <c r="Q278" s="39">
        <v>7895</v>
      </c>
      <c r="R278" s="39"/>
      <c r="S278" s="39"/>
      <c r="T278" s="39"/>
      <c r="U278" s="39"/>
      <c r="V278" s="39"/>
      <c r="W278" s="39"/>
      <c r="X278" s="39"/>
      <c r="Y278" s="39"/>
      <c r="Z278" s="39"/>
      <c r="AA278" s="39">
        <v>36752</v>
      </c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132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</row>
    <row r="279" spans="2:64" ht="12.75">
      <c r="B279" s="152">
        <v>22</v>
      </c>
      <c r="C279" s="37"/>
      <c r="D279" s="33"/>
      <c r="E279" s="90" t="s">
        <v>131</v>
      </c>
      <c r="F279" s="86"/>
      <c r="G279" s="62" t="s">
        <v>4</v>
      </c>
      <c r="H279" s="41">
        <v>0</v>
      </c>
      <c r="I279" s="86">
        <v>0</v>
      </c>
      <c r="J279" s="86"/>
      <c r="K279" s="41"/>
      <c r="L279" s="41"/>
      <c r="M279" s="41"/>
      <c r="N279" s="41">
        <f t="shared" si="48"/>
        <v>0</v>
      </c>
      <c r="O279" s="68">
        <f t="shared" si="44"/>
        <v>303</v>
      </c>
      <c r="P279" s="196"/>
      <c r="Q279" s="48"/>
      <c r="R279" s="48">
        <v>303</v>
      </c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57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</row>
    <row r="280" spans="2:64" ht="12.75">
      <c r="B280" s="152">
        <v>22</v>
      </c>
      <c r="C280" s="37"/>
      <c r="D280" s="33"/>
      <c r="E280" s="88" t="s">
        <v>109</v>
      </c>
      <c r="F280" s="86"/>
      <c r="G280" s="8" t="s">
        <v>5</v>
      </c>
      <c r="H280" s="41">
        <v>0</v>
      </c>
      <c r="I280" s="86">
        <v>0</v>
      </c>
      <c r="J280" s="86"/>
      <c r="K280" s="41"/>
      <c r="L280" s="41"/>
      <c r="M280" s="41"/>
      <c r="N280" s="41">
        <f t="shared" si="48"/>
        <v>0</v>
      </c>
      <c r="O280" s="68">
        <f t="shared" si="44"/>
        <v>0</v>
      </c>
      <c r="P280" s="197"/>
      <c r="Q280" s="72"/>
      <c r="R280" s="72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57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</row>
    <row r="281" spans="2:64" ht="12.75">
      <c r="B281" s="152">
        <v>22</v>
      </c>
      <c r="C281" s="37"/>
      <c r="D281" s="33"/>
      <c r="E281" s="88"/>
      <c r="F281" s="86"/>
      <c r="G281" s="8" t="s">
        <v>6</v>
      </c>
      <c r="H281" s="41">
        <v>0</v>
      </c>
      <c r="I281" s="86">
        <v>0</v>
      </c>
      <c r="J281" s="86"/>
      <c r="K281" s="41"/>
      <c r="L281" s="41"/>
      <c r="M281" s="41"/>
      <c r="N281" s="41">
        <f t="shared" si="48"/>
        <v>0</v>
      </c>
      <c r="O281" s="68">
        <f t="shared" si="44"/>
        <v>3037</v>
      </c>
      <c r="P281" s="197" t="s">
        <v>169</v>
      </c>
      <c r="Q281" s="48"/>
      <c r="R281" s="48"/>
      <c r="S281" s="48">
        <v>3037</v>
      </c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57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</row>
    <row r="282" spans="2:64" ht="12.75">
      <c r="B282" s="152">
        <v>22</v>
      </c>
      <c r="C282" s="37"/>
      <c r="D282" s="33"/>
      <c r="E282" s="88"/>
      <c r="F282" s="86"/>
      <c r="G282" s="8" t="s">
        <v>7</v>
      </c>
      <c r="H282" s="41">
        <v>0</v>
      </c>
      <c r="I282" s="86">
        <v>0</v>
      </c>
      <c r="J282" s="86"/>
      <c r="K282" s="41"/>
      <c r="L282" s="41"/>
      <c r="M282" s="41"/>
      <c r="N282" s="41">
        <f t="shared" si="48"/>
        <v>0</v>
      </c>
      <c r="O282" s="68">
        <f t="shared" si="44"/>
        <v>13690.07</v>
      </c>
      <c r="P282" s="197"/>
      <c r="Q282" s="48"/>
      <c r="R282" s="48"/>
      <c r="S282" s="48"/>
      <c r="T282" s="48"/>
      <c r="U282" s="48"/>
      <c r="V282" s="48"/>
      <c r="W282" s="48">
        <v>7108</v>
      </c>
      <c r="X282" s="48">
        <v>2874</v>
      </c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>
        <v>3708.07</v>
      </c>
      <c r="AY282" s="57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</row>
    <row r="283" spans="2:64" ht="12.75">
      <c r="B283" s="152">
        <v>22</v>
      </c>
      <c r="C283" s="37"/>
      <c r="D283" s="33"/>
      <c r="E283" s="88"/>
      <c r="F283" s="86"/>
      <c r="G283" s="8" t="s">
        <v>8</v>
      </c>
      <c r="H283" s="41">
        <v>0</v>
      </c>
      <c r="I283" s="86">
        <v>0</v>
      </c>
      <c r="J283" s="86"/>
      <c r="K283" s="41"/>
      <c r="L283" s="41"/>
      <c r="M283" s="41"/>
      <c r="N283" s="41">
        <f t="shared" si="48"/>
        <v>0</v>
      </c>
      <c r="O283" s="68">
        <f t="shared" si="44"/>
        <v>569</v>
      </c>
      <c r="P283" s="197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>
        <v>569</v>
      </c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57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</row>
    <row r="284" spans="2:64" ht="12.75">
      <c r="B284" s="152">
        <v>22</v>
      </c>
      <c r="C284" s="37"/>
      <c r="D284" s="33"/>
      <c r="E284" s="88"/>
      <c r="F284" s="86"/>
      <c r="G284" s="8" t="s">
        <v>9</v>
      </c>
      <c r="H284" s="41">
        <v>8480.93</v>
      </c>
      <c r="I284" s="86">
        <v>772.66</v>
      </c>
      <c r="J284" s="86"/>
      <c r="K284" s="41"/>
      <c r="L284" s="41"/>
      <c r="M284" s="41"/>
      <c r="N284" s="41">
        <f t="shared" si="48"/>
        <v>38.633</v>
      </c>
      <c r="O284" s="68">
        <f t="shared" si="44"/>
        <v>5444</v>
      </c>
      <c r="P284" s="197" t="s">
        <v>296</v>
      </c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>
        <v>5444</v>
      </c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57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</row>
    <row r="285" spans="2:64" ht="12.75">
      <c r="B285" s="152">
        <v>22</v>
      </c>
      <c r="C285" s="37"/>
      <c r="D285" s="33"/>
      <c r="E285" s="88"/>
      <c r="F285" s="86"/>
      <c r="G285" s="8" t="s">
        <v>10</v>
      </c>
      <c r="H285" s="41">
        <v>8480.93</v>
      </c>
      <c r="I285" s="86">
        <v>6560.37</v>
      </c>
      <c r="J285" s="86"/>
      <c r="K285" s="41"/>
      <c r="L285" s="41"/>
      <c r="M285" s="41"/>
      <c r="N285" s="41">
        <f t="shared" si="48"/>
        <v>328.0185</v>
      </c>
      <c r="O285" s="68">
        <f t="shared" si="44"/>
        <v>0</v>
      </c>
      <c r="P285" s="19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57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</row>
    <row r="286" spans="2:64" ht="12.75">
      <c r="B286" s="152">
        <v>22</v>
      </c>
      <c r="C286" s="37"/>
      <c r="D286" s="33"/>
      <c r="E286" s="88"/>
      <c r="F286" s="86"/>
      <c r="G286" s="8" t="s">
        <v>11</v>
      </c>
      <c r="H286" s="41">
        <v>8480.93</v>
      </c>
      <c r="I286" s="86">
        <v>7341.63</v>
      </c>
      <c r="J286" s="86"/>
      <c r="K286" s="41"/>
      <c r="L286" s="41"/>
      <c r="M286" s="41"/>
      <c r="N286" s="41">
        <f t="shared" si="48"/>
        <v>367.0815</v>
      </c>
      <c r="O286" s="68">
        <f t="shared" si="44"/>
        <v>0</v>
      </c>
      <c r="P286" s="19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57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</row>
    <row r="287" spans="2:64" ht="12.75">
      <c r="B287" s="152">
        <v>22</v>
      </c>
      <c r="C287" s="37"/>
      <c r="D287" s="33"/>
      <c r="E287" s="88"/>
      <c r="F287" s="86"/>
      <c r="G287" s="8" t="s">
        <v>12</v>
      </c>
      <c r="H287" s="41">
        <v>18032.78</v>
      </c>
      <c r="I287" s="86">
        <v>11174.86</v>
      </c>
      <c r="J287" s="86"/>
      <c r="K287" s="41"/>
      <c r="L287" s="41"/>
      <c r="M287" s="41"/>
      <c r="N287" s="41">
        <f t="shared" si="48"/>
        <v>558.743</v>
      </c>
      <c r="O287" s="68">
        <f t="shared" si="44"/>
        <v>9248</v>
      </c>
      <c r="P287" s="197" t="s">
        <v>321</v>
      </c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>
        <v>602</v>
      </c>
      <c r="AC287" s="48"/>
      <c r="AD287" s="48">
        <v>3147</v>
      </c>
      <c r="AE287" s="48"/>
      <c r="AF287" s="48"/>
      <c r="AG287" s="48"/>
      <c r="AH287" s="48"/>
      <c r="AI287" s="48"/>
      <c r="AJ287" s="48"/>
      <c r="AK287" s="48"/>
      <c r="AL287" s="48"/>
      <c r="AM287" s="48"/>
      <c r="AN287" s="48">
        <v>5499</v>
      </c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5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</row>
    <row r="288" spans="2:64" ht="12.75">
      <c r="B288" s="152">
        <v>22</v>
      </c>
      <c r="C288" s="37"/>
      <c r="D288" s="33"/>
      <c r="E288" s="88"/>
      <c r="F288" s="86"/>
      <c r="G288" s="8" t="s">
        <v>13</v>
      </c>
      <c r="H288" s="41">
        <v>18032.78</v>
      </c>
      <c r="I288" s="86">
        <v>18148.91</v>
      </c>
      <c r="J288" s="86"/>
      <c r="K288" s="41"/>
      <c r="L288" s="41"/>
      <c r="M288" s="41"/>
      <c r="N288" s="41">
        <f t="shared" si="48"/>
        <v>907.4455</v>
      </c>
      <c r="O288" s="68">
        <f t="shared" si="44"/>
        <v>1095</v>
      </c>
      <c r="P288" s="197" t="s">
        <v>375</v>
      </c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>
        <v>1095</v>
      </c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57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</row>
    <row r="289" spans="2:64" ht="13.5" thickBot="1">
      <c r="B289" s="152">
        <v>22</v>
      </c>
      <c r="C289" s="38"/>
      <c r="D289" s="35"/>
      <c r="E289" s="125"/>
      <c r="F289" s="87"/>
      <c r="G289" s="12" t="s">
        <v>14</v>
      </c>
      <c r="H289" s="43">
        <v>18032.78</v>
      </c>
      <c r="I289" s="86">
        <v>20090.39</v>
      </c>
      <c r="J289" s="185"/>
      <c r="K289" s="43"/>
      <c r="L289" s="43"/>
      <c r="M289" s="43"/>
      <c r="N289" s="41">
        <f t="shared" si="48"/>
        <v>1004.5195</v>
      </c>
      <c r="O289" s="75">
        <f t="shared" si="44"/>
        <v>3677</v>
      </c>
      <c r="P289" s="199" t="s">
        <v>374</v>
      </c>
      <c r="Q289" s="49"/>
      <c r="R289" s="49">
        <v>833</v>
      </c>
      <c r="S289" s="49"/>
      <c r="T289" s="49">
        <v>746</v>
      </c>
      <c r="U289" s="49"/>
      <c r="V289" s="49"/>
      <c r="W289" s="49"/>
      <c r="X289" s="49"/>
      <c r="Y289" s="49"/>
      <c r="Z289" s="49"/>
      <c r="AA289" s="49"/>
      <c r="AB289" s="49"/>
      <c r="AC289" s="49"/>
      <c r="AD289" s="49">
        <v>1672</v>
      </c>
      <c r="AE289" s="49"/>
      <c r="AF289" s="49"/>
      <c r="AG289" s="49"/>
      <c r="AH289" s="49"/>
      <c r="AI289" s="49"/>
      <c r="AJ289" s="49"/>
      <c r="AK289" s="49"/>
      <c r="AL289" s="49"/>
      <c r="AM289" s="49"/>
      <c r="AN289" s="49">
        <v>426</v>
      </c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128">
        <f>AY277+(I277-K277-L277-M277-N277)+J277-O277</f>
        <v>-36421.63100000001</v>
      </c>
      <c r="AZ289"/>
      <c r="BA289"/>
      <c r="BB289"/>
      <c r="BC289"/>
      <c r="BD289"/>
      <c r="BE289"/>
      <c r="BF289"/>
      <c r="BG289"/>
      <c r="BH289"/>
      <c r="BI289"/>
      <c r="BJ289"/>
      <c r="BK289"/>
      <c r="BL289"/>
    </row>
    <row r="290" spans="2:64" ht="14.25" thickBot="1" thickTop="1">
      <c r="B290" s="151">
        <v>23</v>
      </c>
      <c r="C290" s="147" t="s">
        <v>66</v>
      </c>
      <c r="D290" s="67">
        <v>10</v>
      </c>
      <c r="E290" s="217" t="s">
        <v>149</v>
      </c>
      <c r="F290" s="84">
        <v>1263.3</v>
      </c>
      <c r="G290" s="50"/>
      <c r="H290" s="69">
        <v>3975.76</v>
      </c>
      <c r="I290" s="69">
        <v>3371.8999999999996</v>
      </c>
      <c r="J290" s="69">
        <f>SUM(J291:J302)</f>
        <v>0</v>
      </c>
      <c r="K290" s="69">
        <f>SUM(K291:K302)</f>
        <v>0</v>
      </c>
      <c r="L290" s="69">
        <f>SUM(L291:L302)</f>
        <v>0</v>
      </c>
      <c r="M290" s="69">
        <f>SUM(M291:M302)</f>
        <v>0</v>
      </c>
      <c r="N290" s="69">
        <f>SUM(N291:N302)</f>
        <v>168.595</v>
      </c>
      <c r="O290" s="16">
        <f t="shared" si="44"/>
        <v>4082</v>
      </c>
      <c r="P290" s="109"/>
      <c r="Q290" s="16">
        <f aca="true" t="shared" si="49" ref="Q290:AX290">SUM(Q291:Q302)</f>
        <v>0</v>
      </c>
      <c r="R290" s="16">
        <f t="shared" si="49"/>
        <v>1932</v>
      </c>
      <c r="S290" s="16">
        <f t="shared" si="49"/>
        <v>0</v>
      </c>
      <c r="T290" s="16">
        <f t="shared" si="49"/>
        <v>0</v>
      </c>
      <c r="U290" s="16">
        <f t="shared" si="49"/>
        <v>0</v>
      </c>
      <c r="V290" s="16">
        <f t="shared" si="49"/>
        <v>0</v>
      </c>
      <c r="W290" s="16">
        <f t="shared" si="49"/>
        <v>0</v>
      </c>
      <c r="X290" s="16">
        <f t="shared" si="49"/>
        <v>2150</v>
      </c>
      <c r="Y290" s="11">
        <f t="shared" si="49"/>
        <v>0</v>
      </c>
      <c r="Z290" s="11">
        <f t="shared" si="49"/>
        <v>0</v>
      </c>
      <c r="AA290" s="11">
        <f t="shared" si="49"/>
        <v>0</v>
      </c>
      <c r="AB290" s="11">
        <f t="shared" si="49"/>
        <v>0</v>
      </c>
      <c r="AC290" s="11">
        <f t="shared" si="49"/>
        <v>0</v>
      </c>
      <c r="AD290" s="11">
        <f t="shared" si="49"/>
        <v>0</v>
      </c>
      <c r="AE290" s="11">
        <f t="shared" si="49"/>
        <v>0</v>
      </c>
      <c r="AF290" s="11">
        <f t="shared" si="49"/>
        <v>0</v>
      </c>
      <c r="AG290" s="11">
        <f t="shared" si="49"/>
        <v>0</v>
      </c>
      <c r="AH290" s="11">
        <f t="shared" si="49"/>
        <v>0</v>
      </c>
      <c r="AI290" s="11">
        <f t="shared" si="49"/>
        <v>0</v>
      </c>
      <c r="AJ290" s="11">
        <f t="shared" si="49"/>
        <v>0</v>
      </c>
      <c r="AK290" s="11">
        <f t="shared" si="49"/>
        <v>0</v>
      </c>
      <c r="AL290" s="11">
        <f t="shared" si="49"/>
        <v>0</v>
      </c>
      <c r="AM290" s="11">
        <f t="shared" si="49"/>
        <v>0</v>
      </c>
      <c r="AN290" s="11">
        <f t="shared" si="49"/>
        <v>0</v>
      </c>
      <c r="AO290" s="11">
        <f>SUM(AO291:AO302)</f>
        <v>0</v>
      </c>
      <c r="AP290" s="11">
        <f t="shared" si="49"/>
        <v>0</v>
      </c>
      <c r="AQ290" s="11">
        <f t="shared" si="49"/>
        <v>0</v>
      </c>
      <c r="AR290" s="11">
        <f t="shared" si="49"/>
        <v>0</v>
      </c>
      <c r="AS290" s="11">
        <f t="shared" si="49"/>
        <v>0</v>
      </c>
      <c r="AT290" s="11">
        <f t="shared" si="49"/>
        <v>0</v>
      </c>
      <c r="AU290" s="11">
        <f t="shared" si="49"/>
        <v>0</v>
      </c>
      <c r="AV290" s="11">
        <f t="shared" si="49"/>
        <v>0</v>
      </c>
      <c r="AW290" s="11">
        <f t="shared" si="49"/>
        <v>0</v>
      </c>
      <c r="AX290" s="11">
        <f t="shared" si="49"/>
        <v>0</v>
      </c>
      <c r="AY290" s="127">
        <v>-18620.66</v>
      </c>
      <c r="AZ290"/>
      <c r="BA290"/>
      <c r="BB290"/>
      <c r="BC290"/>
      <c r="BD290"/>
      <c r="BE290"/>
      <c r="BF290"/>
      <c r="BG290"/>
      <c r="BH290"/>
      <c r="BI290"/>
      <c r="BJ290"/>
      <c r="BK290"/>
      <c r="BL290"/>
    </row>
    <row r="291" spans="2:64" ht="13.5" thickTop="1">
      <c r="B291" s="152">
        <v>23</v>
      </c>
      <c r="C291" s="36" t="s">
        <v>79</v>
      </c>
      <c r="D291" s="31"/>
      <c r="E291" s="89" t="s">
        <v>150</v>
      </c>
      <c r="F291" s="85"/>
      <c r="G291" s="61" t="s">
        <v>3</v>
      </c>
      <c r="H291" s="41">
        <v>0</v>
      </c>
      <c r="I291" s="85">
        <v>0</v>
      </c>
      <c r="J291" s="85"/>
      <c r="K291" s="41"/>
      <c r="L291" s="41"/>
      <c r="M291" s="41">
        <v>0</v>
      </c>
      <c r="N291" s="41">
        <f aca="true" t="shared" si="50" ref="N291:N302">I291*0.05</f>
        <v>0</v>
      </c>
      <c r="O291" s="68">
        <f t="shared" si="44"/>
        <v>913</v>
      </c>
      <c r="P291" s="106"/>
      <c r="Q291" s="23"/>
      <c r="R291" s="23">
        <v>913</v>
      </c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132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</row>
    <row r="292" spans="2:64" ht="12.75">
      <c r="B292" s="152">
        <v>23</v>
      </c>
      <c r="C292" s="37"/>
      <c r="D292" s="33"/>
      <c r="E292" s="90" t="s">
        <v>97</v>
      </c>
      <c r="F292" s="86"/>
      <c r="G292" s="62" t="s">
        <v>4</v>
      </c>
      <c r="H292" s="41">
        <v>0</v>
      </c>
      <c r="I292" s="86">
        <v>0</v>
      </c>
      <c r="J292" s="86"/>
      <c r="K292" s="41"/>
      <c r="L292" s="41"/>
      <c r="M292" s="41"/>
      <c r="N292" s="41">
        <f t="shared" si="50"/>
        <v>0</v>
      </c>
      <c r="O292" s="68">
        <f t="shared" si="44"/>
        <v>457</v>
      </c>
      <c r="P292" s="100"/>
      <c r="Q292" s="72"/>
      <c r="R292" s="48">
        <v>457</v>
      </c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48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57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</row>
    <row r="293" spans="2:64" ht="12.75">
      <c r="B293" s="152">
        <v>23</v>
      </c>
      <c r="C293" s="37"/>
      <c r="D293" s="33"/>
      <c r="E293" s="88" t="s">
        <v>109</v>
      </c>
      <c r="F293" s="86"/>
      <c r="G293" s="8" t="s">
        <v>5</v>
      </c>
      <c r="H293" s="41">
        <v>0</v>
      </c>
      <c r="I293" s="86">
        <v>0</v>
      </c>
      <c r="J293" s="86"/>
      <c r="K293" s="41"/>
      <c r="L293" s="41"/>
      <c r="M293" s="41"/>
      <c r="N293" s="41">
        <f t="shared" si="50"/>
        <v>0</v>
      </c>
      <c r="O293" s="68">
        <f t="shared" si="44"/>
        <v>0</v>
      </c>
      <c r="P293" s="101"/>
      <c r="Q293" s="72"/>
      <c r="R293" s="72"/>
      <c r="S293" s="24"/>
      <c r="T293" s="24"/>
      <c r="U293" s="24"/>
      <c r="V293" s="24"/>
      <c r="W293" s="24"/>
      <c r="X293" s="24"/>
      <c r="Y293" s="24"/>
      <c r="Z293" s="24"/>
      <c r="AA293" s="24"/>
      <c r="AB293" s="45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57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</row>
    <row r="294" spans="2:64" ht="12.75">
      <c r="B294" s="152">
        <v>23</v>
      </c>
      <c r="C294" s="37"/>
      <c r="D294" s="33"/>
      <c r="E294" s="88"/>
      <c r="F294" s="86"/>
      <c r="G294" s="8" t="s">
        <v>6</v>
      </c>
      <c r="H294" s="41">
        <v>0</v>
      </c>
      <c r="I294" s="86">
        <v>215.11</v>
      </c>
      <c r="J294" s="86"/>
      <c r="K294" s="41"/>
      <c r="L294" s="41"/>
      <c r="M294" s="41"/>
      <c r="N294" s="41">
        <f t="shared" si="50"/>
        <v>10.755500000000001</v>
      </c>
      <c r="O294" s="68">
        <f t="shared" si="44"/>
        <v>0</v>
      </c>
      <c r="P294" s="101"/>
      <c r="Q294" s="24"/>
      <c r="R294" s="24"/>
      <c r="S294" s="48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57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</row>
    <row r="295" spans="2:64" ht="12.75">
      <c r="B295" s="152">
        <v>23</v>
      </c>
      <c r="C295" s="37"/>
      <c r="D295" s="33"/>
      <c r="E295" s="88"/>
      <c r="F295" s="86"/>
      <c r="G295" s="8" t="s">
        <v>7</v>
      </c>
      <c r="H295" s="41">
        <v>0</v>
      </c>
      <c r="I295" s="86">
        <v>0</v>
      </c>
      <c r="J295" s="86"/>
      <c r="K295" s="41"/>
      <c r="L295" s="41"/>
      <c r="M295" s="41"/>
      <c r="N295" s="41">
        <f t="shared" si="50"/>
        <v>0</v>
      </c>
      <c r="O295" s="68">
        <f t="shared" si="44"/>
        <v>0</v>
      </c>
      <c r="P295" s="101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48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57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</row>
    <row r="296" spans="2:64" ht="12.75">
      <c r="B296" s="152">
        <v>23</v>
      </c>
      <c r="C296" s="37"/>
      <c r="D296" s="33"/>
      <c r="E296" s="88"/>
      <c r="F296" s="86"/>
      <c r="G296" s="8" t="s">
        <v>8</v>
      </c>
      <c r="H296" s="41">
        <v>0</v>
      </c>
      <c r="I296" s="86">
        <v>0</v>
      </c>
      <c r="J296" s="86"/>
      <c r="K296" s="41"/>
      <c r="L296" s="41"/>
      <c r="M296" s="41"/>
      <c r="N296" s="41">
        <f t="shared" si="50"/>
        <v>0</v>
      </c>
      <c r="O296" s="68">
        <f t="shared" si="44"/>
        <v>2712</v>
      </c>
      <c r="P296" s="101" t="s">
        <v>275</v>
      </c>
      <c r="Q296" s="24"/>
      <c r="R296" s="24">
        <v>562</v>
      </c>
      <c r="S296" s="48"/>
      <c r="T296" s="24"/>
      <c r="U296" s="24"/>
      <c r="V296" s="24"/>
      <c r="W296" s="24"/>
      <c r="X296" s="24">
        <v>2150</v>
      </c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57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</row>
    <row r="297" spans="2:64" ht="12.75">
      <c r="B297" s="152">
        <v>23</v>
      </c>
      <c r="C297" s="37"/>
      <c r="D297" s="33"/>
      <c r="E297" s="88"/>
      <c r="F297" s="86"/>
      <c r="G297" s="8" t="s">
        <v>9</v>
      </c>
      <c r="H297" s="41">
        <v>0</v>
      </c>
      <c r="I297" s="86">
        <v>0</v>
      </c>
      <c r="J297" s="86"/>
      <c r="K297" s="41"/>
      <c r="L297" s="41"/>
      <c r="M297" s="41"/>
      <c r="N297" s="41">
        <f t="shared" si="50"/>
        <v>0</v>
      </c>
      <c r="O297" s="68">
        <f t="shared" si="44"/>
        <v>0</v>
      </c>
      <c r="P297" s="101"/>
      <c r="Q297" s="24"/>
      <c r="R297" s="24"/>
      <c r="S297" s="48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5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</row>
    <row r="298" spans="2:64" ht="12.75">
      <c r="B298" s="152">
        <v>23</v>
      </c>
      <c r="C298" s="37"/>
      <c r="D298" s="33"/>
      <c r="E298" s="88"/>
      <c r="F298" s="86"/>
      <c r="G298" s="8" t="s">
        <v>10</v>
      </c>
      <c r="H298" s="41">
        <v>0</v>
      </c>
      <c r="I298" s="86">
        <v>0</v>
      </c>
      <c r="J298" s="86"/>
      <c r="K298" s="41"/>
      <c r="L298" s="41"/>
      <c r="M298" s="41"/>
      <c r="N298" s="41">
        <f t="shared" si="50"/>
        <v>0</v>
      </c>
      <c r="O298" s="68">
        <f t="shared" si="44"/>
        <v>0</v>
      </c>
      <c r="P298" s="103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48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57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</row>
    <row r="299" spans="2:64" ht="12.75">
      <c r="B299" s="152">
        <v>23</v>
      </c>
      <c r="C299" s="37"/>
      <c r="D299" s="33"/>
      <c r="E299" s="88"/>
      <c r="F299" s="86"/>
      <c r="G299" s="8" t="s">
        <v>11</v>
      </c>
      <c r="H299" s="41">
        <v>0</v>
      </c>
      <c r="I299" s="86">
        <v>0</v>
      </c>
      <c r="J299" s="86"/>
      <c r="K299" s="41"/>
      <c r="L299" s="41"/>
      <c r="M299" s="41"/>
      <c r="N299" s="41">
        <f t="shared" si="50"/>
        <v>0</v>
      </c>
      <c r="O299" s="68">
        <f t="shared" si="44"/>
        <v>0</v>
      </c>
      <c r="P299" s="101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57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</row>
    <row r="300" spans="2:64" ht="12.75">
      <c r="B300" s="152">
        <v>23</v>
      </c>
      <c r="C300" s="37"/>
      <c r="D300" s="33"/>
      <c r="E300" s="88"/>
      <c r="F300" s="86"/>
      <c r="G300" s="8" t="s">
        <v>12</v>
      </c>
      <c r="H300" s="41">
        <v>1987.88</v>
      </c>
      <c r="I300" s="86">
        <v>28.09</v>
      </c>
      <c r="J300" s="86"/>
      <c r="K300" s="41"/>
      <c r="L300" s="41"/>
      <c r="M300" s="41"/>
      <c r="N300" s="41">
        <f t="shared" si="50"/>
        <v>1.4045</v>
      </c>
      <c r="O300" s="68">
        <f t="shared" si="44"/>
        <v>0</v>
      </c>
      <c r="P300" s="101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57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</row>
    <row r="301" spans="2:64" ht="12.75">
      <c r="B301" s="152">
        <v>23</v>
      </c>
      <c r="C301" s="37"/>
      <c r="D301" s="33"/>
      <c r="E301" s="88"/>
      <c r="F301" s="86"/>
      <c r="G301" s="8" t="s">
        <v>13</v>
      </c>
      <c r="H301" s="41">
        <v>993.94</v>
      </c>
      <c r="I301" s="86">
        <v>1269.33</v>
      </c>
      <c r="J301" s="86"/>
      <c r="K301" s="41"/>
      <c r="L301" s="41"/>
      <c r="M301" s="41"/>
      <c r="N301" s="41">
        <f t="shared" si="50"/>
        <v>63.466499999999996</v>
      </c>
      <c r="O301" s="68">
        <f t="shared" si="44"/>
        <v>0</v>
      </c>
      <c r="P301" s="101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57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</row>
    <row r="302" spans="2:64" ht="13.5" thickBot="1">
      <c r="B302" s="152">
        <v>23</v>
      </c>
      <c r="C302" s="38"/>
      <c r="D302" s="35"/>
      <c r="E302" s="125"/>
      <c r="F302" s="87"/>
      <c r="G302" s="12" t="s">
        <v>14</v>
      </c>
      <c r="H302" s="43">
        <v>993.94</v>
      </c>
      <c r="I302" s="86">
        <v>1859.37</v>
      </c>
      <c r="J302" s="185"/>
      <c r="K302" s="43"/>
      <c r="L302" s="43"/>
      <c r="M302" s="43"/>
      <c r="N302" s="41">
        <f t="shared" si="50"/>
        <v>92.9685</v>
      </c>
      <c r="O302" s="75">
        <f t="shared" si="44"/>
        <v>0</v>
      </c>
      <c r="P302" s="104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128">
        <f>AY290+(I290-K290-L290-M290-N290)+J290-O290</f>
        <v>-19499.355</v>
      </c>
      <c r="AZ302"/>
      <c r="BA302"/>
      <c r="BB302"/>
      <c r="BC302"/>
      <c r="BD302"/>
      <c r="BE302"/>
      <c r="BF302"/>
      <c r="BG302"/>
      <c r="BH302"/>
      <c r="BI302"/>
      <c r="BJ302"/>
      <c r="BK302"/>
      <c r="BL302"/>
    </row>
    <row r="303" spans="2:64" ht="14.25" thickBot="1" thickTop="1">
      <c r="B303" s="151">
        <v>24</v>
      </c>
      <c r="C303" s="147" t="s">
        <v>66</v>
      </c>
      <c r="D303" s="67">
        <v>12</v>
      </c>
      <c r="E303" s="145" t="s">
        <v>148</v>
      </c>
      <c r="F303" s="84">
        <v>1132.1</v>
      </c>
      <c r="G303" s="50"/>
      <c r="H303" s="69">
        <v>3824.64</v>
      </c>
      <c r="I303" s="69">
        <v>3339.9700000000003</v>
      </c>
      <c r="J303" s="69">
        <f>SUM(J304:J315)</f>
        <v>0</v>
      </c>
      <c r="K303" s="69">
        <f>SUM(K304:K315)</f>
        <v>0</v>
      </c>
      <c r="L303" s="69">
        <f>SUM(L304:L315)</f>
        <v>0</v>
      </c>
      <c r="M303" s="69">
        <f>SUM(M304:M315)</f>
        <v>0</v>
      </c>
      <c r="N303" s="69">
        <f>SUM(N304:N315)</f>
        <v>166.99850000000004</v>
      </c>
      <c r="O303" s="16">
        <f t="shared" si="44"/>
        <v>1014</v>
      </c>
      <c r="P303" s="109"/>
      <c r="Q303" s="16">
        <f aca="true" t="shared" si="51" ref="Q303:AX303">SUM(Q304:Q315)</f>
        <v>0</v>
      </c>
      <c r="R303" s="16">
        <f t="shared" si="51"/>
        <v>1014</v>
      </c>
      <c r="S303" s="16">
        <f t="shared" si="51"/>
        <v>0</v>
      </c>
      <c r="T303" s="16">
        <f t="shared" si="51"/>
        <v>0</v>
      </c>
      <c r="U303" s="16">
        <f t="shared" si="51"/>
        <v>0</v>
      </c>
      <c r="V303" s="16">
        <f t="shared" si="51"/>
        <v>0</v>
      </c>
      <c r="W303" s="16">
        <f t="shared" si="51"/>
        <v>0</v>
      </c>
      <c r="X303" s="16">
        <f t="shared" si="51"/>
        <v>0</v>
      </c>
      <c r="Y303" s="11">
        <f t="shared" si="51"/>
        <v>0</v>
      </c>
      <c r="Z303" s="11">
        <f t="shared" si="51"/>
        <v>0</v>
      </c>
      <c r="AA303" s="11">
        <f t="shared" si="51"/>
        <v>0</v>
      </c>
      <c r="AB303" s="11">
        <f t="shared" si="51"/>
        <v>0</v>
      </c>
      <c r="AC303" s="11">
        <f t="shared" si="51"/>
        <v>0</v>
      </c>
      <c r="AD303" s="11">
        <f t="shared" si="51"/>
        <v>0</v>
      </c>
      <c r="AE303" s="11">
        <f t="shared" si="51"/>
        <v>0</v>
      </c>
      <c r="AF303" s="11">
        <f t="shared" si="51"/>
        <v>0</v>
      </c>
      <c r="AG303" s="11">
        <f t="shared" si="51"/>
        <v>0</v>
      </c>
      <c r="AH303" s="11">
        <f t="shared" si="51"/>
        <v>0</v>
      </c>
      <c r="AI303" s="11">
        <f t="shared" si="51"/>
        <v>0</v>
      </c>
      <c r="AJ303" s="11">
        <f t="shared" si="51"/>
        <v>0</v>
      </c>
      <c r="AK303" s="11">
        <f t="shared" si="51"/>
        <v>0</v>
      </c>
      <c r="AL303" s="11">
        <f t="shared" si="51"/>
        <v>0</v>
      </c>
      <c r="AM303" s="11">
        <f t="shared" si="51"/>
        <v>0</v>
      </c>
      <c r="AN303" s="11">
        <f t="shared" si="51"/>
        <v>0</v>
      </c>
      <c r="AO303" s="11">
        <f>SUM(AO304:AO315)</f>
        <v>0</v>
      </c>
      <c r="AP303" s="11">
        <f t="shared" si="51"/>
        <v>0</v>
      </c>
      <c r="AQ303" s="11">
        <f t="shared" si="51"/>
        <v>0</v>
      </c>
      <c r="AR303" s="11">
        <f t="shared" si="51"/>
        <v>0</v>
      </c>
      <c r="AS303" s="11">
        <f t="shared" si="51"/>
        <v>0</v>
      </c>
      <c r="AT303" s="11">
        <f t="shared" si="51"/>
        <v>0</v>
      </c>
      <c r="AU303" s="11">
        <f t="shared" si="51"/>
        <v>0</v>
      </c>
      <c r="AV303" s="11">
        <f t="shared" si="51"/>
        <v>0</v>
      </c>
      <c r="AW303" s="11">
        <f t="shared" si="51"/>
        <v>0</v>
      </c>
      <c r="AX303" s="11">
        <f t="shared" si="51"/>
        <v>0</v>
      </c>
      <c r="AY303" s="127">
        <v>0</v>
      </c>
      <c r="AZ303"/>
      <c r="BA303"/>
      <c r="BB303"/>
      <c r="BC303"/>
      <c r="BD303"/>
      <c r="BE303"/>
      <c r="BF303"/>
      <c r="BG303"/>
      <c r="BH303"/>
      <c r="BI303"/>
      <c r="BJ303"/>
      <c r="BK303"/>
      <c r="BL303"/>
    </row>
    <row r="304" spans="2:64" ht="13.5" thickTop="1">
      <c r="B304" s="152">
        <v>24</v>
      </c>
      <c r="C304" s="36" t="s">
        <v>88</v>
      </c>
      <c r="D304" s="31"/>
      <c r="E304" s="88" t="s">
        <v>109</v>
      </c>
      <c r="F304" s="85"/>
      <c r="G304" s="61" t="s">
        <v>3</v>
      </c>
      <c r="H304" s="41">
        <v>0</v>
      </c>
      <c r="I304" s="85">
        <v>0</v>
      </c>
      <c r="J304" s="85"/>
      <c r="K304" s="41"/>
      <c r="L304" s="41"/>
      <c r="M304" s="41">
        <v>0</v>
      </c>
      <c r="N304" s="41">
        <f aca="true" t="shared" si="52" ref="N304:N315">I304*0.05</f>
        <v>0</v>
      </c>
      <c r="O304" s="68">
        <f t="shared" si="44"/>
        <v>0</v>
      </c>
      <c r="P304" s="106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132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</row>
    <row r="305" spans="2:64" ht="12.75">
      <c r="B305" s="152">
        <v>24</v>
      </c>
      <c r="C305" s="37"/>
      <c r="D305" s="33"/>
      <c r="E305" s="184" t="s">
        <v>147</v>
      </c>
      <c r="F305" s="86"/>
      <c r="G305" s="62" t="s">
        <v>4</v>
      </c>
      <c r="H305" s="41">
        <v>0</v>
      </c>
      <c r="I305" s="86">
        <v>0</v>
      </c>
      <c r="J305" s="86"/>
      <c r="K305" s="41"/>
      <c r="L305" s="41"/>
      <c r="M305" s="41"/>
      <c r="N305" s="41">
        <f t="shared" si="52"/>
        <v>0</v>
      </c>
      <c r="O305" s="68">
        <f t="shared" si="44"/>
        <v>913</v>
      </c>
      <c r="P305" s="100"/>
      <c r="Q305" s="72"/>
      <c r="R305" s="48">
        <v>913</v>
      </c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48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57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</row>
    <row r="306" spans="2:64" ht="12.75">
      <c r="B306" s="152">
        <v>24</v>
      </c>
      <c r="C306" s="37"/>
      <c r="D306" s="33"/>
      <c r="E306" s="88"/>
      <c r="F306" s="86"/>
      <c r="G306" s="8" t="s">
        <v>5</v>
      </c>
      <c r="H306" s="41">
        <v>0</v>
      </c>
      <c r="I306" s="86">
        <v>0</v>
      </c>
      <c r="J306" s="86"/>
      <c r="K306" s="41"/>
      <c r="L306" s="41"/>
      <c r="M306" s="41"/>
      <c r="N306" s="41">
        <f t="shared" si="52"/>
        <v>0</v>
      </c>
      <c r="O306" s="68">
        <f t="shared" si="44"/>
        <v>0</v>
      </c>
      <c r="P306" s="101"/>
      <c r="Q306" s="72"/>
      <c r="R306" s="72"/>
      <c r="S306" s="24"/>
      <c r="T306" s="24"/>
      <c r="U306" s="24"/>
      <c r="V306" s="24"/>
      <c r="W306" s="24"/>
      <c r="X306" s="24"/>
      <c r="Y306" s="24"/>
      <c r="Z306" s="24"/>
      <c r="AA306" s="24"/>
      <c r="AB306" s="45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57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</row>
    <row r="307" spans="2:64" ht="12.75">
      <c r="B307" s="152">
        <v>24</v>
      </c>
      <c r="C307" s="37"/>
      <c r="D307" s="33"/>
      <c r="E307" s="88"/>
      <c r="F307" s="86"/>
      <c r="G307" s="8" t="s">
        <v>6</v>
      </c>
      <c r="H307" s="41">
        <v>0</v>
      </c>
      <c r="I307" s="86">
        <v>0</v>
      </c>
      <c r="J307" s="86"/>
      <c r="K307" s="41"/>
      <c r="L307" s="41"/>
      <c r="M307" s="41"/>
      <c r="N307" s="41">
        <f t="shared" si="52"/>
        <v>0</v>
      </c>
      <c r="O307" s="68">
        <f t="shared" si="44"/>
        <v>0</v>
      </c>
      <c r="P307" s="101"/>
      <c r="Q307" s="24"/>
      <c r="R307" s="24"/>
      <c r="S307" s="48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5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</row>
    <row r="308" spans="2:64" ht="12.75">
      <c r="B308" s="152">
        <v>24</v>
      </c>
      <c r="C308" s="37"/>
      <c r="D308" s="33"/>
      <c r="E308" s="88"/>
      <c r="F308" s="86"/>
      <c r="G308" s="8" t="s">
        <v>7</v>
      </c>
      <c r="H308" s="41">
        <v>0</v>
      </c>
      <c r="I308" s="86">
        <v>0</v>
      </c>
      <c r="J308" s="86"/>
      <c r="K308" s="41"/>
      <c r="L308" s="41"/>
      <c r="M308" s="41"/>
      <c r="N308" s="41">
        <f t="shared" si="52"/>
        <v>0</v>
      </c>
      <c r="O308" s="68">
        <f t="shared" si="44"/>
        <v>0</v>
      </c>
      <c r="P308" s="101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48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57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</row>
    <row r="309" spans="2:64" ht="12.75">
      <c r="B309" s="152">
        <v>24</v>
      </c>
      <c r="C309" s="37"/>
      <c r="D309" s="33"/>
      <c r="E309" s="88"/>
      <c r="F309" s="86"/>
      <c r="G309" s="8" t="s">
        <v>8</v>
      </c>
      <c r="H309" s="41">
        <v>0</v>
      </c>
      <c r="I309" s="86">
        <v>0</v>
      </c>
      <c r="J309" s="86"/>
      <c r="K309" s="41"/>
      <c r="L309" s="41"/>
      <c r="M309" s="41"/>
      <c r="N309" s="41">
        <f t="shared" si="52"/>
        <v>0</v>
      </c>
      <c r="O309" s="68">
        <f t="shared" si="44"/>
        <v>0</v>
      </c>
      <c r="P309" s="101"/>
      <c r="Q309" s="24"/>
      <c r="R309" s="24"/>
      <c r="S309" s="48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57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</row>
    <row r="310" spans="2:64" ht="12.75">
      <c r="B310" s="152">
        <v>24</v>
      </c>
      <c r="C310" s="37"/>
      <c r="D310" s="33"/>
      <c r="E310" s="88"/>
      <c r="F310" s="86"/>
      <c r="G310" s="8" t="s">
        <v>9</v>
      </c>
      <c r="H310" s="41">
        <v>0</v>
      </c>
      <c r="I310" s="86">
        <v>0</v>
      </c>
      <c r="J310" s="86"/>
      <c r="K310" s="41"/>
      <c r="L310" s="41"/>
      <c r="M310" s="41"/>
      <c r="N310" s="41">
        <f t="shared" si="52"/>
        <v>0</v>
      </c>
      <c r="O310" s="68">
        <f t="shared" si="44"/>
        <v>0</v>
      </c>
      <c r="P310" s="101"/>
      <c r="Q310" s="24"/>
      <c r="R310" s="24"/>
      <c r="S310" s="48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57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</row>
    <row r="311" spans="2:64" ht="12.75">
      <c r="B311" s="152">
        <v>24</v>
      </c>
      <c r="C311" s="37"/>
      <c r="D311" s="33"/>
      <c r="E311" s="88"/>
      <c r="F311" s="86"/>
      <c r="G311" s="8" t="s">
        <v>10</v>
      </c>
      <c r="H311" s="41">
        <v>0</v>
      </c>
      <c r="I311" s="86">
        <v>0</v>
      </c>
      <c r="J311" s="86"/>
      <c r="K311" s="41"/>
      <c r="L311" s="41"/>
      <c r="M311" s="41"/>
      <c r="N311" s="41">
        <f t="shared" si="52"/>
        <v>0</v>
      </c>
      <c r="O311" s="68">
        <f t="shared" si="44"/>
        <v>0</v>
      </c>
      <c r="P311" s="103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48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57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</row>
    <row r="312" spans="2:64" ht="12.75">
      <c r="B312" s="152">
        <v>24</v>
      </c>
      <c r="C312" s="37"/>
      <c r="D312" s="33"/>
      <c r="E312" s="88"/>
      <c r="F312" s="86"/>
      <c r="G312" s="8" t="s">
        <v>11</v>
      </c>
      <c r="H312" s="41">
        <v>0</v>
      </c>
      <c r="I312" s="86">
        <v>0</v>
      </c>
      <c r="J312" s="86"/>
      <c r="K312" s="41"/>
      <c r="L312" s="41"/>
      <c r="M312" s="41"/>
      <c r="N312" s="41">
        <f t="shared" si="52"/>
        <v>0</v>
      </c>
      <c r="O312" s="68">
        <f t="shared" si="44"/>
        <v>0</v>
      </c>
      <c r="P312" s="101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57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</row>
    <row r="313" spans="2:64" ht="12.75">
      <c r="B313" s="152">
        <v>24</v>
      </c>
      <c r="C313" s="37"/>
      <c r="D313" s="33"/>
      <c r="E313" s="88"/>
      <c r="F313" s="86"/>
      <c r="G313" s="8" t="s">
        <v>12</v>
      </c>
      <c r="H313" s="41">
        <v>1912.32</v>
      </c>
      <c r="I313" s="86">
        <v>60.78</v>
      </c>
      <c r="J313" s="86"/>
      <c r="K313" s="41"/>
      <c r="L313" s="41"/>
      <c r="M313" s="41"/>
      <c r="N313" s="41">
        <f t="shared" si="52"/>
        <v>3.039</v>
      </c>
      <c r="O313" s="68">
        <f t="shared" si="44"/>
        <v>101</v>
      </c>
      <c r="P313" s="101" t="s">
        <v>333</v>
      </c>
      <c r="Q313" s="24"/>
      <c r="R313" s="24">
        <v>101</v>
      </c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57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</row>
    <row r="314" spans="2:64" ht="12.75">
      <c r="B314" s="152">
        <v>24</v>
      </c>
      <c r="C314" s="37"/>
      <c r="D314" s="33"/>
      <c r="E314" s="88"/>
      <c r="F314" s="86"/>
      <c r="G314" s="8" t="s">
        <v>13</v>
      </c>
      <c r="H314" s="41">
        <v>956.16</v>
      </c>
      <c r="I314" s="86">
        <v>1611.65</v>
      </c>
      <c r="J314" s="86"/>
      <c r="K314" s="41"/>
      <c r="L314" s="41"/>
      <c r="M314" s="41"/>
      <c r="N314" s="41">
        <f t="shared" si="52"/>
        <v>80.58250000000001</v>
      </c>
      <c r="O314" s="68">
        <f t="shared" si="44"/>
        <v>0</v>
      </c>
      <c r="P314" s="101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57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</row>
    <row r="315" spans="2:64" ht="13.5" thickBot="1">
      <c r="B315" s="152">
        <v>24</v>
      </c>
      <c r="C315" s="38"/>
      <c r="D315" s="35"/>
      <c r="E315" s="125"/>
      <c r="F315" s="87"/>
      <c r="G315" s="12" t="s">
        <v>14</v>
      </c>
      <c r="H315" s="43">
        <v>956.16</v>
      </c>
      <c r="I315" s="86">
        <v>1667.54</v>
      </c>
      <c r="J315" s="185"/>
      <c r="K315" s="43"/>
      <c r="L315" s="43"/>
      <c r="M315" s="43"/>
      <c r="N315" s="41">
        <f t="shared" si="52"/>
        <v>83.37700000000001</v>
      </c>
      <c r="O315" s="75">
        <f t="shared" si="44"/>
        <v>0</v>
      </c>
      <c r="P315" s="104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128">
        <f>AY303+(I303-K303-L303-M303-N303)+J303-O303</f>
        <v>2158.9715</v>
      </c>
      <c r="AZ315"/>
      <c r="BA315"/>
      <c r="BB315"/>
      <c r="BC315"/>
      <c r="BD315"/>
      <c r="BE315"/>
      <c r="BF315"/>
      <c r="BG315"/>
      <c r="BH315"/>
      <c r="BI315"/>
      <c r="BJ315"/>
      <c r="BK315"/>
      <c r="BL315"/>
    </row>
    <row r="316" spans="2:64" ht="14.25" thickBot="1" thickTop="1">
      <c r="B316" s="151">
        <v>25</v>
      </c>
      <c r="C316" s="147" t="s">
        <v>66</v>
      </c>
      <c r="D316" s="67">
        <v>8</v>
      </c>
      <c r="E316" s="145" t="s">
        <v>107</v>
      </c>
      <c r="F316" s="84">
        <v>1134</v>
      </c>
      <c r="G316" s="50"/>
      <c r="H316" s="69">
        <v>1273.6</v>
      </c>
      <c r="I316" s="69">
        <v>1173.3899999999999</v>
      </c>
      <c r="J316" s="69">
        <f>SUM(J317:J328)</f>
        <v>0</v>
      </c>
      <c r="K316" s="69">
        <f>SUM(K317:K328)</f>
        <v>0</v>
      </c>
      <c r="L316" s="69">
        <f>SUM(L317:L328)</f>
        <v>0</v>
      </c>
      <c r="M316" s="69">
        <f>SUM(M317:M328)</f>
        <v>0</v>
      </c>
      <c r="N316" s="69">
        <f>SUM(N317:N328)</f>
        <v>58.6695</v>
      </c>
      <c r="O316" s="16">
        <f t="shared" si="44"/>
        <v>2001</v>
      </c>
      <c r="P316" s="109"/>
      <c r="Q316" s="16">
        <f aca="true" t="shared" si="53" ref="Q316:AX316">SUM(Q317:Q328)</f>
        <v>0</v>
      </c>
      <c r="R316" s="16">
        <f t="shared" si="53"/>
        <v>1848</v>
      </c>
      <c r="S316" s="16">
        <f t="shared" si="53"/>
        <v>0</v>
      </c>
      <c r="T316" s="16">
        <f t="shared" si="53"/>
        <v>0</v>
      </c>
      <c r="U316" s="16">
        <f t="shared" si="53"/>
        <v>0</v>
      </c>
      <c r="V316" s="16">
        <f t="shared" si="53"/>
        <v>0</v>
      </c>
      <c r="W316" s="16">
        <f t="shared" si="53"/>
        <v>0</v>
      </c>
      <c r="X316" s="16">
        <f t="shared" si="53"/>
        <v>0</v>
      </c>
      <c r="Y316" s="11">
        <f t="shared" si="53"/>
        <v>0</v>
      </c>
      <c r="Z316" s="11">
        <f t="shared" si="53"/>
        <v>0</v>
      </c>
      <c r="AA316" s="11">
        <f t="shared" si="53"/>
        <v>0</v>
      </c>
      <c r="AB316" s="11">
        <f t="shared" si="53"/>
        <v>0</v>
      </c>
      <c r="AC316" s="11">
        <f t="shared" si="53"/>
        <v>0</v>
      </c>
      <c r="AD316" s="11">
        <f t="shared" si="53"/>
        <v>153</v>
      </c>
      <c r="AE316" s="11">
        <f t="shared" si="53"/>
        <v>0</v>
      </c>
      <c r="AF316" s="11">
        <f t="shared" si="53"/>
        <v>0</v>
      </c>
      <c r="AG316" s="11">
        <f t="shared" si="53"/>
        <v>0</v>
      </c>
      <c r="AH316" s="11">
        <f t="shared" si="53"/>
        <v>0</v>
      </c>
      <c r="AI316" s="11">
        <f t="shared" si="53"/>
        <v>0</v>
      </c>
      <c r="AJ316" s="11">
        <f t="shared" si="53"/>
        <v>0</v>
      </c>
      <c r="AK316" s="11">
        <f t="shared" si="53"/>
        <v>0</v>
      </c>
      <c r="AL316" s="11">
        <f t="shared" si="53"/>
        <v>0</v>
      </c>
      <c r="AM316" s="11">
        <f t="shared" si="53"/>
        <v>0</v>
      </c>
      <c r="AN316" s="11">
        <f t="shared" si="53"/>
        <v>0</v>
      </c>
      <c r="AO316" s="11">
        <f>SUM(AO317:AO328)</f>
        <v>0</v>
      </c>
      <c r="AP316" s="11">
        <f t="shared" si="53"/>
        <v>0</v>
      </c>
      <c r="AQ316" s="11">
        <f t="shared" si="53"/>
        <v>0</v>
      </c>
      <c r="AR316" s="11">
        <f t="shared" si="53"/>
        <v>0</v>
      </c>
      <c r="AS316" s="11">
        <f t="shared" si="53"/>
        <v>0</v>
      </c>
      <c r="AT316" s="11">
        <f t="shared" si="53"/>
        <v>0</v>
      </c>
      <c r="AU316" s="11">
        <f t="shared" si="53"/>
        <v>0</v>
      </c>
      <c r="AV316" s="11">
        <f t="shared" si="53"/>
        <v>0</v>
      </c>
      <c r="AW316" s="11">
        <f t="shared" si="53"/>
        <v>0</v>
      </c>
      <c r="AX316" s="11">
        <f t="shared" si="53"/>
        <v>0</v>
      </c>
      <c r="AY316" s="127">
        <v>0</v>
      </c>
      <c r="AZ316"/>
      <c r="BA316"/>
      <c r="BB316"/>
      <c r="BC316"/>
      <c r="BD316"/>
      <c r="BE316"/>
      <c r="BF316"/>
      <c r="BG316"/>
      <c r="BH316"/>
      <c r="BI316"/>
      <c r="BJ316"/>
      <c r="BK316"/>
      <c r="BL316"/>
    </row>
    <row r="317" spans="2:64" ht="13.5" thickTop="1">
      <c r="B317" s="152">
        <v>25</v>
      </c>
      <c r="C317" s="36" t="s">
        <v>105</v>
      </c>
      <c r="D317" s="31"/>
      <c r="E317" s="88" t="s">
        <v>109</v>
      </c>
      <c r="F317" s="85"/>
      <c r="G317" s="61" t="s">
        <v>3</v>
      </c>
      <c r="H317" s="41">
        <v>0</v>
      </c>
      <c r="I317" s="85">
        <v>0</v>
      </c>
      <c r="J317" s="85"/>
      <c r="K317" s="41"/>
      <c r="L317" s="41"/>
      <c r="M317" s="41">
        <v>0</v>
      </c>
      <c r="N317" s="41">
        <f aca="true" t="shared" si="54" ref="N317:N328">I317*0.05</f>
        <v>0</v>
      </c>
      <c r="O317" s="68">
        <f t="shared" si="44"/>
        <v>303</v>
      </c>
      <c r="P317" s="106"/>
      <c r="Q317" s="23"/>
      <c r="R317" s="23">
        <v>303</v>
      </c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132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</row>
    <row r="318" spans="2:64" ht="12.75">
      <c r="B318" s="152">
        <v>25</v>
      </c>
      <c r="C318" s="37"/>
      <c r="D318" s="33"/>
      <c r="E318" s="90" t="s">
        <v>151</v>
      </c>
      <c r="F318" s="86"/>
      <c r="G318" s="62" t="s">
        <v>4</v>
      </c>
      <c r="H318" s="41">
        <v>0</v>
      </c>
      <c r="I318" s="86">
        <v>0</v>
      </c>
      <c r="J318" s="86"/>
      <c r="K318" s="41"/>
      <c r="L318" s="41"/>
      <c r="M318" s="41"/>
      <c r="N318" s="41">
        <f t="shared" si="54"/>
        <v>0</v>
      </c>
      <c r="O318" s="68">
        <f t="shared" si="44"/>
        <v>1216</v>
      </c>
      <c r="P318" s="100"/>
      <c r="Q318" s="72"/>
      <c r="R318" s="48">
        <v>1216</v>
      </c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48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57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</row>
    <row r="319" spans="2:64" ht="12.75">
      <c r="B319" s="152">
        <v>25</v>
      </c>
      <c r="C319" s="37"/>
      <c r="D319" s="33"/>
      <c r="E319" s="88"/>
      <c r="F319" s="86"/>
      <c r="G319" s="8" t="s">
        <v>5</v>
      </c>
      <c r="H319" s="41">
        <v>0</v>
      </c>
      <c r="I319" s="86">
        <v>0</v>
      </c>
      <c r="J319" s="86"/>
      <c r="K319" s="41"/>
      <c r="L319" s="41"/>
      <c r="M319" s="41"/>
      <c r="N319" s="41">
        <f t="shared" si="54"/>
        <v>0</v>
      </c>
      <c r="O319" s="68">
        <f t="shared" si="44"/>
        <v>0</v>
      </c>
      <c r="P319" s="101"/>
      <c r="Q319" s="72"/>
      <c r="R319" s="72"/>
      <c r="S319" s="24"/>
      <c r="T319" s="24"/>
      <c r="U319" s="24"/>
      <c r="V319" s="24"/>
      <c r="W319" s="24"/>
      <c r="X319" s="24"/>
      <c r="Y319" s="24"/>
      <c r="Z319" s="24"/>
      <c r="AA319" s="24"/>
      <c r="AB319" s="45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57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</row>
    <row r="320" spans="2:64" ht="12.75">
      <c r="B320" s="152">
        <v>25</v>
      </c>
      <c r="C320" s="37"/>
      <c r="D320" s="33"/>
      <c r="E320" s="88"/>
      <c r="F320" s="86"/>
      <c r="G320" s="8" t="s">
        <v>6</v>
      </c>
      <c r="H320" s="41">
        <v>0</v>
      </c>
      <c r="I320" s="86">
        <v>0</v>
      </c>
      <c r="J320" s="86"/>
      <c r="K320" s="41"/>
      <c r="L320" s="41"/>
      <c r="M320" s="41"/>
      <c r="N320" s="41">
        <f t="shared" si="54"/>
        <v>0</v>
      </c>
      <c r="O320" s="68">
        <f t="shared" si="44"/>
        <v>0</v>
      </c>
      <c r="P320" s="101"/>
      <c r="Q320" s="24"/>
      <c r="R320" s="24"/>
      <c r="S320" s="48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57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</row>
    <row r="321" spans="2:64" ht="12.75">
      <c r="B321" s="152">
        <v>25</v>
      </c>
      <c r="C321" s="37"/>
      <c r="D321" s="33"/>
      <c r="E321" s="88"/>
      <c r="F321" s="86"/>
      <c r="G321" s="8" t="s">
        <v>7</v>
      </c>
      <c r="H321" s="41">
        <v>0</v>
      </c>
      <c r="I321" s="86">
        <v>0</v>
      </c>
      <c r="J321" s="86"/>
      <c r="K321" s="41"/>
      <c r="L321" s="41"/>
      <c r="M321" s="41"/>
      <c r="N321" s="41">
        <f t="shared" si="54"/>
        <v>0</v>
      </c>
      <c r="O321" s="68">
        <f t="shared" si="44"/>
        <v>0</v>
      </c>
      <c r="P321" s="101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48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57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</row>
    <row r="322" spans="2:64" ht="12.75">
      <c r="B322" s="152">
        <v>25</v>
      </c>
      <c r="C322" s="37"/>
      <c r="D322" s="33"/>
      <c r="E322" s="88"/>
      <c r="F322" s="86"/>
      <c r="G322" s="8" t="s">
        <v>8</v>
      </c>
      <c r="H322" s="41">
        <v>0</v>
      </c>
      <c r="I322" s="86">
        <v>0</v>
      </c>
      <c r="J322" s="86"/>
      <c r="K322" s="41"/>
      <c r="L322" s="41"/>
      <c r="M322" s="41"/>
      <c r="N322" s="41">
        <f t="shared" si="54"/>
        <v>0</v>
      </c>
      <c r="O322" s="68">
        <f t="shared" si="44"/>
        <v>329</v>
      </c>
      <c r="P322" s="101" t="s">
        <v>278</v>
      </c>
      <c r="Q322" s="24"/>
      <c r="R322" s="24">
        <v>329</v>
      </c>
      <c r="S322" s="48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57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</row>
    <row r="323" spans="2:64" ht="12.75">
      <c r="B323" s="152">
        <v>25</v>
      </c>
      <c r="C323" s="37"/>
      <c r="D323" s="33"/>
      <c r="E323" s="88"/>
      <c r="F323" s="86"/>
      <c r="G323" s="8" t="s">
        <v>9</v>
      </c>
      <c r="H323" s="41">
        <v>0</v>
      </c>
      <c r="I323" s="86">
        <v>0</v>
      </c>
      <c r="J323" s="86"/>
      <c r="K323" s="41"/>
      <c r="L323" s="41"/>
      <c r="M323" s="41"/>
      <c r="N323" s="41">
        <f t="shared" si="54"/>
        <v>0</v>
      </c>
      <c r="O323" s="68">
        <f t="shared" si="44"/>
        <v>153</v>
      </c>
      <c r="P323" s="101" t="s">
        <v>162</v>
      </c>
      <c r="Q323" s="24"/>
      <c r="R323" s="24"/>
      <c r="S323" s="48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>
        <v>153</v>
      </c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57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</row>
    <row r="324" spans="2:64" ht="12.75">
      <c r="B324" s="152">
        <v>25</v>
      </c>
      <c r="C324" s="37"/>
      <c r="D324" s="33"/>
      <c r="E324" s="88"/>
      <c r="F324" s="86"/>
      <c r="G324" s="8" t="s">
        <v>10</v>
      </c>
      <c r="H324" s="41">
        <v>0</v>
      </c>
      <c r="I324" s="86">
        <v>0</v>
      </c>
      <c r="J324" s="86"/>
      <c r="K324" s="41"/>
      <c r="L324" s="41"/>
      <c r="M324" s="41"/>
      <c r="N324" s="41">
        <f t="shared" si="54"/>
        <v>0</v>
      </c>
      <c r="O324" s="68">
        <f t="shared" si="44"/>
        <v>0</v>
      </c>
      <c r="P324" s="103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48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57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</row>
    <row r="325" spans="2:64" ht="12.75">
      <c r="B325" s="152">
        <v>25</v>
      </c>
      <c r="C325" s="37"/>
      <c r="D325" s="33"/>
      <c r="E325" s="88"/>
      <c r="F325" s="86"/>
      <c r="G325" s="8" t="s">
        <v>11</v>
      </c>
      <c r="H325" s="41">
        <v>0</v>
      </c>
      <c r="I325" s="86">
        <v>0</v>
      </c>
      <c r="J325" s="86"/>
      <c r="K325" s="41"/>
      <c r="L325" s="41"/>
      <c r="M325" s="41"/>
      <c r="N325" s="41">
        <f t="shared" si="54"/>
        <v>0</v>
      </c>
      <c r="O325" s="68">
        <f t="shared" si="44"/>
        <v>0</v>
      </c>
      <c r="P325" s="101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57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</row>
    <row r="326" spans="2:64" ht="12.75">
      <c r="B326" s="152">
        <v>25</v>
      </c>
      <c r="C326" s="37"/>
      <c r="D326" s="33"/>
      <c r="E326" s="88"/>
      <c r="F326" s="86"/>
      <c r="G326" s="8" t="s">
        <v>12</v>
      </c>
      <c r="H326" s="41">
        <v>636.8</v>
      </c>
      <c r="I326" s="86">
        <v>33.03</v>
      </c>
      <c r="J326" s="86"/>
      <c r="K326" s="41"/>
      <c r="L326" s="41"/>
      <c r="M326" s="41"/>
      <c r="N326" s="41">
        <f t="shared" si="54"/>
        <v>1.6515000000000002</v>
      </c>
      <c r="O326" s="68">
        <f t="shared" si="44"/>
        <v>0</v>
      </c>
      <c r="P326" s="101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57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</row>
    <row r="327" spans="2:64" ht="12.75">
      <c r="B327" s="152">
        <v>25</v>
      </c>
      <c r="C327" s="37"/>
      <c r="D327" s="33"/>
      <c r="E327" s="88"/>
      <c r="F327" s="86"/>
      <c r="G327" s="8" t="s">
        <v>13</v>
      </c>
      <c r="H327" s="41">
        <v>318.4</v>
      </c>
      <c r="I327" s="86">
        <v>509.77</v>
      </c>
      <c r="J327" s="86"/>
      <c r="K327" s="41"/>
      <c r="L327" s="41"/>
      <c r="M327" s="41"/>
      <c r="N327" s="41">
        <f t="shared" si="54"/>
        <v>25.488500000000002</v>
      </c>
      <c r="O327" s="68">
        <f t="shared" si="44"/>
        <v>0</v>
      </c>
      <c r="P327" s="101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5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</row>
    <row r="328" spans="2:64" ht="13.5" thickBot="1">
      <c r="B328" s="154">
        <v>25</v>
      </c>
      <c r="C328" s="183"/>
      <c r="D328" s="63"/>
      <c r="E328" s="125"/>
      <c r="F328" s="87"/>
      <c r="G328" s="12" t="s">
        <v>14</v>
      </c>
      <c r="H328" s="43">
        <v>318.4</v>
      </c>
      <c r="I328" s="86">
        <v>630.59</v>
      </c>
      <c r="J328" s="185"/>
      <c r="K328" s="43"/>
      <c r="L328" s="43"/>
      <c r="M328" s="43"/>
      <c r="N328" s="41">
        <f t="shared" si="54"/>
        <v>31.529500000000002</v>
      </c>
      <c r="O328" s="75">
        <f t="shared" si="44"/>
        <v>0</v>
      </c>
      <c r="P328" s="104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128">
        <f>AY316+(I316-K316-L316-M316-N316)+J316-O316</f>
        <v>-886.2795000000001</v>
      </c>
      <c r="AZ328"/>
      <c r="BA328"/>
      <c r="BB328"/>
      <c r="BC328"/>
      <c r="BD328"/>
      <c r="BE328"/>
      <c r="BF328"/>
      <c r="BG328"/>
      <c r="BH328"/>
      <c r="BI328"/>
      <c r="BJ328"/>
      <c r="BK328"/>
      <c r="BL328"/>
    </row>
    <row r="329" spans="2:64" ht="14.25" thickBot="1" thickTop="1">
      <c r="B329" s="155">
        <v>26</v>
      </c>
      <c r="C329" s="73" t="s">
        <v>143</v>
      </c>
      <c r="D329" s="67">
        <v>61</v>
      </c>
      <c r="E329" s="145" t="s">
        <v>108</v>
      </c>
      <c r="F329" s="84">
        <v>1169.5</v>
      </c>
      <c r="G329" s="50"/>
      <c r="H329" s="69">
        <v>3984</v>
      </c>
      <c r="I329" s="69">
        <v>2647.5</v>
      </c>
      <c r="J329" s="69">
        <f>SUM(J330:J341)</f>
        <v>0</v>
      </c>
      <c r="K329" s="69">
        <f>SUM(K330:K341)</f>
        <v>0</v>
      </c>
      <c r="L329" s="69">
        <f>SUM(L330:L341)</f>
        <v>0</v>
      </c>
      <c r="M329" s="69">
        <f>SUM(M330:M341)</f>
        <v>0</v>
      </c>
      <c r="N329" s="69">
        <f>SUM(N330:N341)</f>
        <v>132.375</v>
      </c>
      <c r="O329" s="16">
        <f>SUM(Q329:AX329)</f>
        <v>0</v>
      </c>
      <c r="P329" s="109"/>
      <c r="Q329" s="16">
        <f>SUM(Q330:Q341)</f>
        <v>0</v>
      </c>
      <c r="R329" s="16">
        <f aca="true" t="shared" si="55" ref="R329:AX329">SUM(R330:R341)</f>
        <v>0</v>
      </c>
      <c r="S329" s="16">
        <f t="shared" si="55"/>
        <v>0</v>
      </c>
      <c r="T329" s="16">
        <f t="shared" si="55"/>
        <v>0</v>
      </c>
      <c r="U329" s="16">
        <f t="shared" si="55"/>
        <v>0</v>
      </c>
      <c r="V329" s="16">
        <f t="shared" si="55"/>
        <v>0</v>
      </c>
      <c r="W329" s="16">
        <f t="shared" si="55"/>
        <v>0</v>
      </c>
      <c r="X329" s="16">
        <f t="shared" si="55"/>
        <v>0</v>
      </c>
      <c r="Y329" s="11">
        <f t="shared" si="55"/>
        <v>0</v>
      </c>
      <c r="Z329" s="11">
        <f t="shared" si="55"/>
        <v>0</v>
      </c>
      <c r="AA329" s="11">
        <f t="shared" si="55"/>
        <v>0</v>
      </c>
      <c r="AB329" s="11">
        <f t="shared" si="55"/>
        <v>0</v>
      </c>
      <c r="AC329" s="11">
        <f t="shared" si="55"/>
        <v>0</v>
      </c>
      <c r="AD329" s="11">
        <f t="shared" si="55"/>
        <v>0</v>
      </c>
      <c r="AE329" s="11">
        <f t="shared" si="55"/>
        <v>0</v>
      </c>
      <c r="AF329" s="11">
        <f t="shared" si="55"/>
        <v>0</v>
      </c>
      <c r="AG329" s="11">
        <f t="shared" si="55"/>
        <v>0</v>
      </c>
      <c r="AH329" s="11">
        <f t="shared" si="55"/>
        <v>0</v>
      </c>
      <c r="AI329" s="11">
        <f t="shared" si="55"/>
        <v>0</v>
      </c>
      <c r="AJ329" s="11">
        <f t="shared" si="55"/>
        <v>0</v>
      </c>
      <c r="AK329" s="11">
        <f t="shared" si="55"/>
        <v>0</v>
      </c>
      <c r="AL329" s="11">
        <f t="shared" si="55"/>
        <v>0</v>
      </c>
      <c r="AM329" s="11">
        <f t="shared" si="55"/>
        <v>0</v>
      </c>
      <c r="AN329" s="11">
        <f t="shared" si="55"/>
        <v>0</v>
      </c>
      <c r="AO329" s="11">
        <f>SUM(AO330:AO341)</f>
        <v>0</v>
      </c>
      <c r="AP329" s="11">
        <f t="shared" si="55"/>
        <v>0</v>
      </c>
      <c r="AQ329" s="11">
        <f t="shared" si="55"/>
        <v>0</v>
      </c>
      <c r="AR329" s="11">
        <f t="shared" si="55"/>
        <v>0</v>
      </c>
      <c r="AS329" s="11">
        <f t="shared" si="55"/>
        <v>0</v>
      </c>
      <c r="AT329" s="11">
        <f t="shared" si="55"/>
        <v>0</v>
      </c>
      <c r="AU329" s="11">
        <f t="shared" si="55"/>
        <v>0</v>
      </c>
      <c r="AV329" s="11">
        <f t="shared" si="55"/>
        <v>0</v>
      </c>
      <c r="AW329" s="11">
        <f t="shared" si="55"/>
        <v>0</v>
      </c>
      <c r="AX329" s="11">
        <f t="shared" si="55"/>
        <v>0</v>
      </c>
      <c r="AY329" s="127">
        <v>-8436</v>
      </c>
      <c r="AZ329"/>
      <c r="BA329"/>
      <c r="BB329"/>
      <c r="BC329"/>
      <c r="BD329"/>
      <c r="BE329"/>
      <c r="BF329"/>
      <c r="BG329"/>
      <c r="BH329"/>
      <c r="BI329"/>
      <c r="BJ329"/>
      <c r="BK329"/>
      <c r="BL329"/>
    </row>
    <row r="330" spans="2:64" ht="13.5" thickTop="1">
      <c r="B330" s="152">
        <v>26</v>
      </c>
      <c r="C330" s="36"/>
      <c r="D330" s="31"/>
      <c r="E330" s="88" t="s">
        <v>109</v>
      </c>
      <c r="F330" s="85"/>
      <c r="G330" s="61" t="s">
        <v>3</v>
      </c>
      <c r="H330" s="41">
        <v>0</v>
      </c>
      <c r="I330" s="85">
        <v>93.17</v>
      </c>
      <c r="J330" s="85"/>
      <c r="K330" s="41"/>
      <c r="L330" s="41"/>
      <c r="M330" s="41"/>
      <c r="N330" s="41">
        <f aca="true" t="shared" si="56" ref="N330:N341">I330*0.05</f>
        <v>4.6585</v>
      </c>
      <c r="O330" s="68">
        <f aca="true" t="shared" si="57" ref="O330:O354">SUM(Q330:AX330)</f>
        <v>0</v>
      </c>
      <c r="P330" s="106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132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</row>
    <row r="331" spans="2:64" ht="12.75">
      <c r="B331" s="152">
        <v>26</v>
      </c>
      <c r="C331" s="37"/>
      <c r="D331" s="33"/>
      <c r="E331" s="90"/>
      <c r="F331" s="86"/>
      <c r="G331" s="62" t="s">
        <v>4</v>
      </c>
      <c r="H331" s="41">
        <v>0</v>
      </c>
      <c r="I331" s="86">
        <v>76.41</v>
      </c>
      <c r="J331" s="86"/>
      <c r="K331" s="41"/>
      <c r="L331" s="41"/>
      <c r="M331" s="41"/>
      <c r="N331" s="41">
        <f t="shared" si="56"/>
        <v>3.8205</v>
      </c>
      <c r="O331" s="68">
        <f t="shared" si="57"/>
        <v>0</v>
      </c>
      <c r="P331" s="100"/>
      <c r="Q331" s="72"/>
      <c r="R331" s="48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48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57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</row>
    <row r="332" spans="2:64" ht="12.75">
      <c r="B332" s="152">
        <v>26</v>
      </c>
      <c r="C332" s="37"/>
      <c r="D332" s="33"/>
      <c r="E332" s="88"/>
      <c r="F332" s="86"/>
      <c r="G332" s="8" t="s">
        <v>5</v>
      </c>
      <c r="H332" s="41">
        <v>0</v>
      </c>
      <c r="I332" s="86">
        <v>0</v>
      </c>
      <c r="J332" s="86"/>
      <c r="K332" s="41"/>
      <c r="L332" s="41"/>
      <c r="M332" s="41"/>
      <c r="N332" s="41">
        <f t="shared" si="56"/>
        <v>0</v>
      </c>
      <c r="O332" s="68">
        <f t="shared" si="57"/>
        <v>0</v>
      </c>
      <c r="P332" s="101"/>
      <c r="Q332" s="72"/>
      <c r="R332" s="72"/>
      <c r="S332" s="24"/>
      <c r="T332" s="24"/>
      <c r="U332" s="24"/>
      <c r="V332" s="24"/>
      <c r="W332" s="24"/>
      <c r="X332" s="24"/>
      <c r="Y332" s="24"/>
      <c r="Z332" s="24"/>
      <c r="AA332" s="24"/>
      <c r="AB332" s="45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57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</row>
    <row r="333" spans="2:64" ht="12.75">
      <c r="B333" s="152">
        <v>26</v>
      </c>
      <c r="C333" s="37"/>
      <c r="D333" s="33"/>
      <c r="E333" s="88"/>
      <c r="F333" s="86"/>
      <c r="G333" s="8" t="s">
        <v>6</v>
      </c>
      <c r="H333" s="41">
        <v>0</v>
      </c>
      <c r="I333" s="86">
        <v>0</v>
      </c>
      <c r="J333" s="86"/>
      <c r="K333" s="41"/>
      <c r="L333" s="41"/>
      <c r="M333" s="41"/>
      <c r="N333" s="41">
        <f t="shared" si="56"/>
        <v>0</v>
      </c>
      <c r="O333" s="68">
        <f t="shared" si="57"/>
        <v>0</v>
      </c>
      <c r="P333" s="101"/>
      <c r="Q333" s="24"/>
      <c r="R333" s="24"/>
      <c r="S333" s="48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57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</row>
    <row r="334" spans="2:64" ht="12.75">
      <c r="B334" s="152">
        <v>26</v>
      </c>
      <c r="C334" s="37"/>
      <c r="D334" s="33"/>
      <c r="E334" s="88"/>
      <c r="F334" s="86"/>
      <c r="G334" s="8" t="s">
        <v>7</v>
      </c>
      <c r="H334" s="41">
        <v>0</v>
      </c>
      <c r="I334" s="86">
        <v>0</v>
      </c>
      <c r="J334" s="86"/>
      <c r="K334" s="41"/>
      <c r="L334" s="41"/>
      <c r="M334" s="41"/>
      <c r="N334" s="41">
        <f t="shared" si="56"/>
        <v>0</v>
      </c>
      <c r="O334" s="68">
        <f t="shared" si="57"/>
        <v>0</v>
      </c>
      <c r="P334" s="101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48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57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</row>
    <row r="335" spans="2:64" ht="12.75">
      <c r="B335" s="152">
        <v>26</v>
      </c>
      <c r="C335" s="37"/>
      <c r="D335" s="33"/>
      <c r="E335" s="88"/>
      <c r="F335" s="86"/>
      <c r="G335" s="8" t="s">
        <v>8</v>
      </c>
      <c r="H335" s="41">
        <v>0</v>
      </c>
      <c r="I335" s="86">
        <v>0</v>
      </c>
      <c r="J335" s="86"/>
      <c r="K335" s="41"/>
      <c r="L335" s="41"/>
      <c r="M335" s="41"/>
      <c r="N335" s="41">
        <f t="shared" si="56"/>
        <v>0</v>
      </c>
      <c r="O335" s="68">
        <f t="shared" si="57"/>
        <v>0</v>
      </c>
      <c r="P335" s="101"/>
      <c r="Q335" s="24"/>
      <c r="R335" s="24"/>
      <c r="S335" s="48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57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</row>
    <row r="336" spans="2:64" ht="12.75">
      <c r="B336" s="152">
        <v>26</v>
      </c>
      <c r="C336" s="37"/>
      <c r="D336" s="33"/>
      <c r="E336" s="88"/>
      <c r="F336" s="86"/>
      <c r="G336" s="8" t="s">
        <v>9</v>
      </c>
      <c r="H336" s="41">
        <v>0</v>
      </c>
      <c r="I336" s="86">
        <v>0</v>
      </c>
      <c r="J336" s="86"/>
      <c r="K336" s="41"/>
      <c r="L336" s="41"/>
      <c r="M336" s="41"/>
      <c r="N336" s="41">
        <f t="shared" si="56"/>
        <v>0</v>
      </c>
      <c r="O336" s="68">
        <f t="shared" si="57"/>
        <v>0</v>
      </c>
      <c r="P336" s="101"/>
      <c r="Q336" s="24"/>
      <c r="R336" s="24"/>
      <c r="S336" s="48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57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</row>
    <row r="337" spans="2:64" ht="12.75">
      <c r="B337" s="152">
        <v>26</v>
      </c>
      <c r="C337" s="37"/>
      <c r="D337" s="33"/>
      <c r="E337" s="88"/>
      <c r="F337" s="86"/>
      <c r="G337" s="8" t="s">
        <v>10</v>
      </c>
      <c r="H337" s="41">
        <v>0</v>
      </c>
      <c r="I337" s="86">
        <v>0</v>
      </c>
      <c r="J337" s="86"/>
      <c r="K337" s="41"/>
      <c r="L337" s="41"/>
      <c r="M337" s="41"/>
      <c r="N337" s="41">
        <f t="shared" si="56"/>
        <v>0</v>
      </c>
      <c r="O337" s="68">
        <f t="shared" si="57"/>
        <v>0</v>
      </c>
      <c r="P337" s="103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48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5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</row>
    <row r="338" spans="2:64" ht="12.75">
      <c r="B338" s="152">
        <v>26</v>
      </c>
      <c r="C338" s="37"/>
      <c r="D338" s="33"/>
      <c r="E338" s="88"/>
      <c r="F338" s="86"/>
      <c r="G338" s="8" t="s">
        <v>11</v>
      </c>
      <c r="H338" s="41">
        <v>0</v>
      </c>
      <c r="I338" s="86">
        <v>0</v>
      </c>
      <c r="J338" s="86"/>
      <c r="K338" s="41"/>
      <c r="L338" s="41"/>
      <c r="M338" s="41"/>
      <c r="N338" s="41">
        <f t="shared" si="56"/>
        <v>0</v>
      </c>
      <c r="O338" s="68">
        <f t="shared" si="57"/>
        <v>0</v>
      </c>
      <c r="P338" s="101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57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</row>
    <row r="339" spans="2:64" ht="12.75">
      <c r="B339" s="152">
        <v>26</v>
      </c>
      <c r="C339" s="37"/>
      <c r="D339" s="33"/>
      <c r="E339" s="88"/>
      <c r="F339" s="86"/>
      <c r="G339" s="8" t="s">
        <v>12</v>
      </c>
      <c r="H339" s="41">
        <v>1992</v>
      </c>
      <c r="I339" s="86">
        <v>139.89</v>
      </c>
      <c r="J339" s="86"/>
      <c r="K339" s="41"/>
      <c r="L339" s="41"/>
      <c r="M339" s="41"/>
      <c r="N339" s="41">
        <f t="shared" si="56"/>
        <v>6.9944999999999995</v>
      </c>
      <c r="O339" s="68">
        <f t="shared" si="57"/>
        <v>0</v>
      </c>
      <c r="P339" s="101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57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</row>
    <row r="340" spans="2:64" ht="12.75">
      <c r="B340" s="152">
        <v>26</v>
      </c>
      <c r="C340" s="37"/>
      <c r="D340" s="33"/>
      <c r="E340" s="88"/>
      <c r="F340" s="86"/>
      <c r="G340" s="8" t="s">
        <v>13</v>
      </c>
      <c r="H340" s="41">
        <v>996</v>
      </c>
      <c r="I340" s="86">
        <v>825.41</v>
      </c>
      <c r="J340" s="86"/>
      <c r="K340" s="41"/>
      <c r="L340" s="41"/>
      <c r="M340" s="41"/>
      <c r="N340" s="41">
        <f t="shared" si="56"/>
        <v>41.2705</v>
      </c>
      <c r="O340" s="68">
        <f t="shared" si="57"/>
        <v>0</v>
      </c>
      <c r="P340" s="101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57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</row>
    <row r="341" spans="2:64" ht="13.5" thickBot="1">
      <c r="B341" s="152">
        <v>26</v>
      </c>
      <c r="C341" s="38"/>
      <c r="D341" s="35"/>
      <c r="E341" s="125"/>
      <c r="F341" s="87"/>
      <c r="G341" s="12" t="s">
        <v>14</v>
      </c>
      <c r="H341" s="43">
        <v>996</v>
      </c>
      <c r="I341" s="185">
        <v>1512.62</v>
      </c>
      <c r="J341" s="185"/>
      <c r="K341" s="43"/>
      <c r="L341" s="43"/>
      <c r="M341" s="43"/>
      <c r="N341" s="41">
        <f t="shared" si="56"/>
        <v>75.631</v>
      </c>
      <c r="O341" s="186">
        <f t="shared" si="57"/>
        <v>0</v>
      </c>
      <c r="P341" s="104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128">
        <f>AY329+I329+J329-K329-L329-M329-N329-O329</f>
        <v>-5920.875</v>
      </c>
      <c r="AZ341"/>
      <c r="BA341"/>
      <c r="BB341"/>
      <c r="BC341"/>
      <c r="BD341"/>
      <c r="BE341"/>
      <c r="BF341"/>
      <c r="BG341"/>
      <c r="BH341"/>
      <c r="BI341"/>
      <c r="BJ341"/>
      <c r="BK341"/>
      <c r="BL341"/>
    </row>
    <row r="342" spans="2:64" ht="14.25" thickBot="1" thickTop="1">
      <c r="B342" s="151">
        <v>27</v>
      </c>
      <c r="C342" s="147" t="s">
        <v>66</v>
      </c>
      <c r="D342" s="67">
        <v>2</v>
      </c>
      <c r="E342" s="145" t="s">
        <v>145</v>
      </c>
      <c r="F342" s="202">
        <v>949.6</v>
      </c>
      <c r="G342" s="50"/>
      <c r="H342" s="69">
        <v>4554.24</v>
      </c>
      <c r="I342" s="69">
        <v>2875.75</v>
      </c>
      <c r="J342" s="69">
        <f>SUM(J343:J354)</f>
        <v>0</v>
      </c>
      <c r="K342" s="69">
        <f>SUM(K343:K354)</f>
        <v>0</v>
      </c>
      <c r="L342" s="69">
        <f>SUM(L343:L354)</f>
        <v>0</v>
      </c>
      <c r="M342" s="69">
        <f>SUM(M343:M354)</f>
        <v>0</v>
      </c>
      <c r="N342" s="69">
        <f>SUM(N343:N354)</f>
        <v>143.78750000000002</v>
      </c>
      <c r="O342" s="16">
        <f t="shared" si="57"/>
        <v>0</v>
      </c>
      <c r="P342" s="109"/>
      <c r="Q342" s="16">
        <f>SUM(Q343:Q354)</f>
        <v>0</v>
      </c>
      <c r="R342" s="16">
        <f aca="true" t="shared" si="58" ref="R342:AX342">SUM(R343:R354)</f>
        <v>0</v>
      </c>
      <c r="S342" s="16">
        <f t="shared" si="58"/>
        <v>0</v>
      </c>
      <c r="T342" s="16">
        <f t="shared" si="58"/>
        <v>0</v>
      </c>
      <c r="U342" s="16">
        <f t="shared" si="58"/>
        <v>0</v>
      </c>
      <c r="V342" s="16">
        <f t="shared" si="58"/>
        <v>0</v>
      </c>
      <c r="W342" s="16">
        <f t="shared" si="58"/>
        <v>0</v>
      </c>
      <c r="X342" s="16">
        <f t="shared" si="58"/>
        <v>0</v>
      </c>
      <c r="Y342" s="11">
        <f t="shared" si="58"/>
        <v>0</v>
      </c>
      <c r="Z342" s="11">
        <f t="shared" si="58"/>
        <v>0</v>
      </c>
      <c r="AA342" s="11">
        <f t="shared" si="58"/>
        <v>0</v>
      </c>
      <c r="AB342" s="11">
        <f t="shared" si="58"/>
        <v>0</v>
      </c>
      <c r="AC342" s="11">
        <f t="shared" si="58"/>
        <v>0</v>
      </c>
      <c r="AD342" s="11">
        <f t="shared" si="58"/>
        <v>0</v>
      </c>
      <c r="AE342" s="11">
        <f t="shared" si="58"/>
        <v>0</v>
      </c>
      <c r="AF342" s="11">
        <f t="shared" si="58"/>
        <v>0</v>
      </c>
      <c r="AG342" s="11">
        <f t="shared" si="58"/>
        <v>0</v>
      </c>
      <c r="AH342" s="11">
        <f t="shared" si="58"/>
        <v>0</v>
      </c>
      <c r="AI342" s="11">
        <f t="shared" si="58"/>
        <v>0</v>
      </c>
      <c r="AJ342" s="11">
        <f t="shared" si="58"/>
        <v>0</v>
      </c>
      <c r="AK342" s="11">
        <f t="shared" si="58"/>
        <v>0</v>
      </c>
      <c r="AL342" s="11">
        <f t="shared" si="58"/>
        <v>0</v>
      </c>
      <c r="AM342" s="11">
        <f t="shared" si="58"/>
        <v>0</v>
      </c>
      <c r="AN342" s="11">
        <f t="shared" si="58"/>
        <v>0</v>
      </c>
      <c r="AO342" s="11">
        <f>SUM(AO343:AO354)</f>
        <v>0</v>
      </c>
      <c r="AP342" s="11">
        <f t="shared" si="58"/>
        <v>0</v>
      </c>
      <c r="AQ342" s="11">
        <f t="shared" si="58"/>
        <v>0</v>
      </c>
      <c r="AR342" s="11">
        <f t="shared" si="58"/>
        <v>0</v>
      </c>
      <c r="AS342" s="11">
        <f t="shared" si="58"/>
        <v>0</v>
      </c>
      <c r="AT342" s="11">
        <f t="shared" si="58"/>
        <v>0</v>
      </c>
      <c r="AU342" s="11">
        <f t="shared" si="58"/>
        <v>0</v>
      </c>
      <c r="AV342" s="11">
        <f t="shared" si="58"/>
        <v>0</v>
      </c>
      <c r="AW342" s="11">
        <f t="shared" si="58"/>
        <v>0</v>
      </c>
      <c r="AX342" s="11">
        <f t="shared" si="58"/>
        <v>0</v>
      </c>
      <c r="AY342" s="127">
        <v>0</v>
      </c>
      <c r="AZ342"/>
      <c r="BA342"/>
      <c r="BB342"/>
      <c r="BC342"/>
      <c r="BD342"/>
      <c r="BE342"/>
      <c r="BF342"/>
      <c r="BG342"/>
      <c r="BH342"/>
      <c r="BI342"/>
      <c r="BJ342"/>
      <c r="BK342"/>
      <c r="BL342"/>
    </row>
    <row r="343" spans="2:64" ht="13.5" thickTop="1">
      <c r="B343" s="152">
        <v>27</v>
      </c>
      <c r="C343" s="36"/>
      <c r="D343" s="31"/>
      <c r="E343" s="88" t="s">
        <v>109</v>
      </c>
      <c r="F343" s="85"/>
      <c r="G343" s="61" t="s">
        <v>3</v>
      </c>
      <c r="H343" s="41">
        <v>0</v>
      </c>
      <c r="I343" s="85">
        <v>0</v>
      </c>
      <c r="J343" s="85"/>
      <c r="K343" s="41"/>
      <c r="L343" s="41"/>
      <c r="M343" s="41"/>
      <c r="N343" s="41">
        <f aca="true" t="shared" si="59" ref="N343:N354">I343*0.05</f>
        <v>0</v>
      </c>
      <c r="O343" s="68">
        <f t="shared" si="57"/>
        <v>0</v>
      </c>
      <c r="P343" s="106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132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</row>
    <row r="344" spans="2:64" ht="12.75">
      <c r="B344" s="152">
        <v>27</v>
      </c>
      <c r="C344" s="37"/>
      <c r="D344" s="33"/>
      <c r="E344" s="90"/>
      <c r="F344" s="86"/>
      <c r="G344" s="62" t="s">
        <v>4</v>
      </c>
      <c r="H344" s="41">
        <v>0</v>
      </c>
      <c r="I344" s="86">
        <v>0</v>
      </c>
      <c r="J344" s="86"/>
      <c r="K344" s="41"/>
      <c r="L344" s="41"/>
      <c r="M344" s="41"/>
      <c r="N344" s="41">
        <f t="shared" si="59"/>
        <v>0</v>
      </c>
      <c r="O344" s="68">
        <f t="shared" si="57"/>
        <v>0</v>
      </c>
      <c r="P344" s="100"/>
      <c r="Q344" s="72"/>
      <c r="R344" s="72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48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57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</row>
    <row r="345" spans="2:64" ht="12.75">
      <c r="B345" s="152">
        <v>27</v>
      </c>
      <c r="C345" s="37"/>
      <c r="D345" s="33"/>
      <c r="E345" s="88"/>
      <c r="F345" s="86"/>
      <c r="G345" s="8" t="s">
        <v>5</v>
      </c>
      <c r="H345" s="41">
        <v>0</v>
      </c>
      <c r="I345" s="86">
        <v>0</v>
      </c>
      <c r="J345" s="86"/>
      <c r="K345" s="41"/>
      <c r="L345" s="41"/>
      <c r="M345" s="41"/>
      <c r="N345" s="41">
        <f t="shared" si="59"/>
        <v>0</v>
      </c>
      <c r="O345" s="68">
        <f t="shared" si="57"/>
        <v>0</v>
      </c>
      <c r="P345" s="101"/>
      <c r="Q345" s="72"/>
      <c r="R345" s="72"/>
      <c r="S345" s="24"/>
      <c r="T345" s="24"/>
      <c r="U345" s="24"/>
      <c r="V345" s="24"/>
      <c r="W345" s="24"/>
      <c r="X345" s="24"/>
      <c r="Y345" s="24"/>
      <c r="Z345" s="24"/>
      <c r="AA345" s="24"/>
      <c r="AB345" s="45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57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</row>
    <row r="346" spans="2:64" ht="12.75">
      <c r="B346" s="152">
        <v>27</v>
      </c>
      <c r="C346" s="37"/>
      <c r="D346" s="33"/>
      <c r="E346" s="88"/>
      <c r="F346" s="86"/>
      <c r="G346" s="8" t="s">
        <v>6</v>
      </c>
      <c r="H346" s="41">
        <v>0</v>
      </c>
      <c r="I346" s="86">
        <v>0</v>
      </c>
      <c r="J346" s="86"/>
      <c r="K346" s="41"/>
      <c r="L346" s="41"/>
      <c r="M346" s="41"/>
      <c r="N346" s="41">
        <f t="shared" si="59"/>
        <v>0</v>
      </c>
      <c r="O346" s="68">
        <f t="shared" si="57"/>
        <v>0</v>
      </c>
      <c r="P346" s="101"/>
      <c r="Q346" s="24"/>
      <c r="R346" s="24"/>
      <c r="S346" s="48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57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</row>
    <row r="347" spans="2:64" ht="12.75">
      <c r="B347" s="152">
        <v>27</v>
      </c>
      <c r="C347" s="37"/>
      <c r="D347" s="33"/>
      <c r="E347" s="88"/>
      <c r="F347" s="86"/>
      <c r="G347" s="8" t="s">
        <v>7</v>
      </c>
      <c r="H347" s="41">
        <v>0</v>
      </c>
      <c r="I347" s="86">
        <v>0</v>
      </c>
      <c r="J347" s="86"/>
      <c r="K347" s="41"/>
      <c r="L347" s="41"/>
      <c r="M347" s="41"/>
      <c r="N347" s="41">
        <f t="shared" si="59"/>
        <v>0</v>
      </c>
      <c r="O347" s="68">
        <f t="shared" si="57"/>
        <v>0</v>
      </c>
      <c r="P347" s="101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48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5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</row>
    <row r="348" spans="2:64" ht="12.75">
      <c r="B348" s="152">
        <v>27</v>
      </c>
      <c r="C348" s="37"/>
      <c r="D348" s="33"/>
      <c r="E348" s="88"/>
      <c r="F348" s="86"/>
      <c r="G348" s="8" t="s">
        <v>8</v>
      </c>
      <c r="H348" s="41">
        <v>0</v>
      </c>
      <c r="I348" s="86">
        <v>0</v>
      </c>
      <c r="J348" s="86"/>
      <c r="K348" s="41"/>
      <c r="L348" s="41"/>
      <c r="M348" s="41"/>
      <c r="N348" s="41">
        <f t="shared" si="59"/>
        <v>0</v>
      </c>
      <c r="O348" s="68">
        <f t="shared" si="57"/>
        <v>0</v>
      </c>
      <c r="P348" s="101"/>
      <c r="Q348" s="24"/>
      <c r="R348" s="24"/>
      <c r="S348" s="48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57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</row>
    <row r="349" spans="2:64" ht="12.75">
      <c r="B349" s="152">
        <v>27</v>
      </c>
      <c r="C349" s="37"/>
      <c r="D349" s="33"/>
      <c r="E349" s="88"/>
      <c r="F349" s="86"/>
      <c r="G349" s="8" t="s">
        <v>9</v>
      </c>
      <c r="H349" s="41">
        <v>0</v>
      </c>
      <c r="I349" s="86">
        <v>0</v>
      </c>
      <c r="J349" s="86"/>
      <c r="K349" s="41"/>
      <c r="L349" s="41"/>
      <c r="M349" s="41"/>
      <c r="N349" s="41">
        <f t="shared" si="59"/>
        <v>0</v>
      </c>
      <c r="O349" s="68">
        <f t="shared" si="57"/>
        <v>0</v>
      </c>
      <c r="P349" s="101"/>
      <c r="Q349" s="24"/>
      <c r="R349" s="24"/>
      <c r="S349" s="48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57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</row>
    <row r="350" spans="2:64" ht="12.75">
      <c r="B350" s="152">
        <v>27</v>
      </c>
      <c r="C350" s="37"/>
      <c r="D350" s="33"/>
      <c r="E350" s="88"/>
      <c r="F350" s="86"/>
      <c r="G350" s="8" t="s">
        <v>10</v>
      </c>
      <c r="H350" s="41">
        <v>0</v>
      </c>
      <c r="I350" s="86">
        <v>0</v>
      </c>
      <c r="J350" s="86"/>
      <c r="K350" s="41"/>
      <c r="L350" s="41"/>
      <c r="M350" s="41"/>
      <c r="N350" s="41">
        <f t="shared" si="59"/>
        <v>0</v>
      </c>
      <c r="O350" s="68">
        <f t="shared" si="57"/>
        <v>0</v>
      </c>
      <c r="P350" s="103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48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57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</row>
    <row r="351" spans="2:64" ht="12.75">
      <c r="B351" s="152">
        <v>27</v>
      </c>
      <c r="C351" s="37"/>
      <c r="D351" s="33"/>
      <c r="E351" s="88"/>
      <c r="F351" s="86"/>
      <c r="G351" s="8" t="s">
        <v>11</v>
      </c>
      <c r="H351" s="41">
        <v>0</v>
      </c>
      <c r="I351" s="86">
        <v>0</v>
      </c>
      <c r="J351" s="86"/>
      <c r="K351" s="41"/>
      <c r="L351" s="41"/>
      <c r="M351" s="41"/>
      <c r="N351" s="41">
        <f t="shared" si="59"/>
        <v>0</v>
      </c>
      <c r="O351" s="68">
        <f t="shared" si="57"/>
        <v>0</v>
      </c>
      <c r="P351" s="101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57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</row>
    <row r="352" spans="2:64" ht="12.75">
      <c r="B352" s="152">
        <v>27</v>
      </c>
      <c r="C352" s="37"/>
      <c r="D352" s="33"/>
      <c r="E352" s="88"/>
      <c r="F352" s="86"/>
      <c r="G352" s="8" t="s">
        <v>12</v>
      </c>
      <c r="H352" s="41">
        <v>2277.12</v>
      </c>
      <c r="I352" s="86">
        <v>0</v>
      </c>
      <c r="J352" s="86"/>
      <c r="K352" s="41"/>
      <c r="L352" s="41"/>
      <c r="M352" s="41"/>
      <c r="N352" s="41">
        <f t="shared" si="59"/>
        <v>0</v>
      </c>
      <c r="O352" s="68">
        <f t="shared" si="57"/>
        <v>0</v>
      </c>
      <c r="P352" s="101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57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</row>
    <row r="353" spans="2:64" ht="12.75">
      <c r="B353" s="152">
        <v>27</v>
      </c>
      <c r="C353" s="37"/>
      <c r="D353" s="33"/>
      <c r="E353" s="88"/>
      <c r="F353" s="86"/>
      <c r="G353" s="8" t="s">
        <v>13</v>
      </c>
      <c r="H353" s="41">
        <v>1138.56</v>
      </c>
      <c r="I353" s="86">
        <v>1057.59</v>
      </c>
      <c r="J353" s="86"/>
      <c r="K353" s="41"/>
      <c r="L353" s="41"/>
      <c r="M353" s="41"/>
      <c r="N353" s="41">
        <f t="shared" si="59"/>
        <v>52.8795</v>
      </c>
      <c r="O353" s="68">
        <f t="shared" si="57"/>
        <v>0</v>
      </c>
      <c r="P353" s="101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57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</row>
    <row r="354" spans="2:64" ht="13.5" thickBot="1">
      <c r="B354" s="152">
        <v>27</v>
      </c>
      <c r="C354" s="183"/>
      <c r="D354" s="63"/>
      <c r="E354" s="125"/>
      <c r="F354" s="87"/>
      <c r="G354" s="12" t="s">
        <v>14</v>
      </c>
      <c r="H354" s="43">
        <v>1138.56</v>
      </c>
      <c r="I354" s="86">
        <v>1818.16</v>
      </c>
      <c r="J354" s="185"/>
      <c r="K354" s="43"/>
      <c r="L354" s="43"/>
      <c r="M354" s="43"/>
      <c r="N354" s="41">
        <f t="shared" si="59"/>
        <v>90.90800000000002</v>
      </c>
      <c r="O354" s="75">
        <f t="shared" si="57"/>
        <v>0</v>
      </c>
      <c r="P354" s="104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128">
        <f>AY342+I342+J342-K342-L342-M342-N342-O342</f>
        <v>2731.9625</v>
      </c>
      <c r="AZ354"/>
      <c r="BA354"/>
      <c r="BB354"/>
      <c r="BC354"/>
      <c r="BD354"/>
      <c r="BE354"/>
      <c r="BF354"/>
      <c r="BG354"/>
      <c r="BH354"/>
      <c r="BI354"/>
      <c r="BJ354"/>
      <c r="BK354"/>
      <c r="BL354"/>
    </row>
    <row r="355" spans="2:64" ht="14.25" thickBot="1" thickTop="1">
      <c r="B355" s="151">
        <v>28</v>
      </c>
      <c r="C355" s="147" t="s">
        <v>66</v>
      </c>
      <c r="D355" s="67" t="s">
        <v>144</v>
      </c>
      <c r="E355" s="145" t="s">
        <v>145</v>
      </c>
      <c r="F355" s="202">
        <v>950.7</v>
      </c>
      <c r="G355" s="50"/>
      <c r="H355" s="69">
        <v>4563.6</v>
      </c>
      <c r="I355" s="69">
        <v>2685.88</v>
      </c>
      <c r="J355" s="69">
        <f>SUM(J356:J367)</f>
        <v>0</v>
      </c>
      <c r="K355" s="69">
        <f>SUM(K356:K367)</f>
        <v>0</v>
      </c>
      <c r="L355" s="69">
        <f>SUM(L356:L367)</f>
        <v>0</v>
      </c>
      <c r="M355" s="69">
        <f>SUM(M356:M367)</f>
        <v>0</v>
      </c>
      <c r="N355" s="69">
        <f>SUM(N356:N367)</f>
        <v>134.29399999999998</v>
      </c>
      <c r="O355" s="16">
        <f>SUM(Q355:AX355)</f>
        <v>0</v>
      </c>
      <c r="P355" s="109"/>
      <c r="Q355" s="16">
        <f>SUM(Q356:Q367)</f>
        <v>0</v>
      </c>
      <c r="R355" s="16">
        <f aca="true" t="shared" si="60" ref="R355:AX355">SUM(R356:R367)</f>
        <v>0</v>
      </c>
      <c r="S355" s="16">
        <f t="shared" si="60"/>
        <v>0</v>
      </c>
      <c r="T355" s="16">
        <f t="shared" si="60"/>
        <v>0</v>
      </c>
      <c r="U355" s="16">
        <f t="shared" si="60"/>
        <v>0</v>
      </c>
      <c r="V355" s="16">
        <f t="shared" si="60"/>
        <v>0</v>
      </c>
      <c r="W355" s="16">
        <f t="shared" si="60"/>
        <v>0</v>
      </c>
      <c r="X355" s="16">
        <f t="shared" si="60"/>
        <v>0</v>
      </c>
      <c r="Y355" s="11">
        <f t="shared" si="60"/>
        <v>0</v>
      </c>
      <c r="Z355" s="11">
        <f t="shared" si="60"/>
        <v>0</v>
      </c>
      <c r="AA355" s="11">
        <f t="shared" si="60"/>
        <v>0</v>
      </c>
      <c r="AB355" s="11">
        <f t="shared" si="60"/>
        <v>0</v>
      </c>
      <c r="AC355" s="11">
        <f t="shared" si="60"/>
        <v>0</v>
      </c>
      <c r="AD355" s="11">
        <f t="shared" si="60"/>
        <v>0</v>
      </c>
      <c r="AE355" s="11">
        <f t="shared" si="60"/>
        <v>0</v>
      </c>
      <c r="AF355" s="11">
        <f t="shared" si="60"/>
        <v>0</v>
      </c>
      <c r="AG355" s="11">
        <f t="shared" si="60"/>
        <v>0</v>
      </c>
      <c r="AH355" s="11">
        <f t="shared" si="60"/>
        <v>0</v>
      </c>
      <c r="AI355" s="11">
        <f t="shared" si="60"/>
        <v>0</v>
      </c>
      <c r="AJ355" s="11">
        <f t="shared" si="60"/>
        <v>0</v>
      </c>
      <c r="AK355" s="11">
        <f t="shared" si="60"/>
        <v>0</v>
      </c>
      <c r="AL355" s="11">
        <f t="shared" si="60"/>
        <v>0</v>
      </c>
      <c r="AM355" s="11">
        <f t="shared" si="60"/>
        <v>0</v>
      </c>
      <c r="AN355" s="11">
        <f t="shared" si="60"/>
        <v>0</v>
      </c>
      <c r="AO355" s="11">
        <f>SUM(AO356:AO367)</f>
        <v>0</v>
      </c>
      <c r="AP355" s="11">
        <f t="shared" si="60"/>
        <v>0</v>
      </c>
      <c r="AQ355" s="11">
        <f t="shared" si="60"/>
        <v>0</v>
      </c>
      <c r="AR355" s="11">
        <f t="shared" si="60"/>
        <v>0</v>
      </c>
      <c r="AS355" s="11">
        <f t="shared" si="60"/>
        <v>0</v>
      </c>
      <c r="AT355" s="11">
        <f t="shared" si="60"/>
        <v>0</v>
      </c>
      <c r="AU355" s="11">
        <f t="shared" si="60"/>
        <v>0</v>
      </c>
      <c r="AV355" s="11">
        <f t="shared" si="60"/>
        <v>0</v>
      </c>
      <c r="AW355" s="11">
        <f t="shared" si="60"/>
        <v>0</v>
      </c>
      <c r="AX355" s="11">
        <f t="shared" si="60"/>
        <v>0</v>
      </c>
      <c r="AY355" s="127">
        <v>0</v>
      </c>
      <c r="AZ355"/>
      <c r="BA355"/>
      <c r="BB355"/>
      <c r="BC355"/>
      <c r="BD355"/>
      <c r="BE355"/>
      <c r="BF355"/>
      <c r="BG355"/>
      <c r="BH355"/>
      <c r="BI355"/>
      <c r="BJ355"/>
      <c r="BK355"/>
      <c r="BL355"/>
    </row>
    <row r="356" spans="2:64" ht="13.5" thickTop="1">
      <c r="B356" s="152">
        <v>28</v>
      </c>
      <c r="C356" s="36"/>
      <c r="D356" s="31"/>
      <c r="E356" s="88" t="s">
        <v>109</v>
      </c>
      <c r="F356" s="85"/>
      <c r="G356" s="61" t="s">
        <v>3</v>
      </c>
      <c r="H356" s="41">
        <v>0</v>
      </c>
      <c r="I356" s="85">
        <v>0</v>
      </c>
      <c r="J356" s="85"/>
      <c r="K356" s="41"/>
      <c r="L356" s="41"/>
      <c r="M356" s="41"/>
      <c r="N356" s="41">
        <f aca="true" t="shared" si="61" ref="N356:N367">I356*0.05</f>
        <v>0</v>
      </c>
      <c r="O356" s="68">
        <f>SUM(Q356:AX356)</f>
        <v>0</v>
      </c>
      <c r="P356" s="106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132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</row>
    <row r="357" spans="2:64" ht="12.75">
      <c r="B357" s="152">
        <v>28</v>
      </c>
      <c r="C357" s="37"/>
      <c r="D357" s="33"/>
      <c r="E357" s="90"/>
      <c r="F357" s="86"/>
      <c r="G357" s="62" t="s">
        <v>4</v>
      </c>
      <c r="H357" s="41">
        <v>0</v>
      </c>
      <c r="I357" s="86">
        <v>0</v>
      </c>
      <c r="J357" s="86"/>
      <c r="K357" s="41"/>
      <c r="L357" s="41"/>
      <c r="M357" s="41"/>
      <c r="N357" s="41">
        <f t="shared" si="61"/>
        <v>0</v>
      </c>
      <c r="O357" s="68">
        <f aca="true" t="shared" si="62" ref="O357:O367">SUM(Q357:AX357)</f>
        <v>0</v>
      </c>
      <c r="P357" s="100"/>
      <c r="Q357" s="72"/>
      <c r="R357" s="72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48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</row>
    <row r="358" spans="2:64" ht="12.75">
      <c r="B358" s="152">
        <v>28</v>
      </c>
      <c r="C358" s="37"/>
      <c r="D358" s="33"/>
      <c r="E358" s="88"/>
      <c r="F358" s="86"/>
      <c r="G358" s="8" t="s">
        <v>5</v>
      </c>
      <c r="H358" s="41">
        <v>0</v>
      </c>
      <c r="I358" s="86">
        <v>0</v>
      </c>
      <c r="J358" s="86"/>
      <c r="K358" s="41"/>
      <c r="L358" s="41"/>
      <c r="M358" s="41"/>
      <c r="N358" s="41">
        <f t="shared" si="61"/>
        <v>0</v>
      </c>
      <c r="O358" s="68">
        <f t="shared" si="62"/>
        <v>0</v>
      </c>
      <c r="P358" s="101"/>
      <c r="Q358" s="72"/>
      <c r="R358" s="72"/>
      <c r="S358" s="24"/>
      <c r="T358" s="24"/>
      <c r="U358" s="24"/>
      <c r="V358" s="24"/>
      <c r="W358" s="24"/>
      <c r="X358" s="24"/>
      <c r="Y358" s="24"/>
      <c r="Z358" s="24"/>
      <c r="AA358" s="24"/>
      <c r="AB358" s="45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57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</row>
    <row r="359" spans="2:64" ht="12.75">
      <c r="B359" s="152">
        <v>28</v>
      </c>
      <c r="C359" s="37"/>
      <c r="D359" s="33"/>
      <c r="E359" s="88"/>
      <c r="F359" s="86"/>
      <c r="G359" s="8" t="s">
        <v>6</v>
      </c>
      <c r="H359" s="41">
        <v>0</v>
      </c>
      <c r="I359" s="86">
        <v>0</v>
      </c>
      <c r="J359" s="86"/>
      <c r="K359" s="41"/>
      <c r="L359" s="41"/>
      <c r="M359" s="41"/>
      <c r="N359" s="41">
        <f t="shared" si="61"/>
        <v>0</v>
      </c>
      <c r="O359" s="68">
        <f t="shared" si="62"/>
        <v>0</v>
      </c>
      <c r="P359" s="101"/>
      <c r="Q359" s="24"/>
      <c r="R359" s="24"/>
      <c r="S359" s="48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57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</row>
    <row r="360" spans="2:64" ht="12.75">
      <c r="B360" s="152">
        <v>28</v>
      </c>
      <c r="C360" s="37"/>
      <c r="D360" s="33"/>
      <c r="E360" s="88"/>
      <c r="F360" s="86"/>
      <c r="G360" s="8" t="s">
        <v>7</v>
      </c>
      <c r="H360" s="41">
        <v>0</v>
      </c>
      <c r="I360" s="86">
        <v>0</v>
      </c>
      <c r="J360" s="86"/>
      <c r="K360" s="41"/>
      <c r="L360" s="41"/>
      <c r="M360" s="41"/>
      <c r="N360" s="41">
        <f t="shared" si="61"/>
        <v>0</v>
      </c>
      <c r="O360" s="68">
        <f t="shared" si="62"/>
        <v>0</v>
      </c>
      <c r="P360" s="101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48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57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</row>
    <row r="361" spans="2:64" ht="12.75">
      <c r="B361" s="152">
        <v>28</v>
      </c>
      <c r="C361" s="37"/>
      <c r="D361" s="33"/>
      <c r="E361" s="88"/>
      <c r="F361" s="86"/>
      <c r="G361" s="8" t="s">
        <v>8</v>
      </c>
      <c r="H361" s="41">
        <v>0</v>
      </c>
      <c r="I361" s="86">
        <v>0</v>
      </c>
      <c r="J361" s="86"/>
      <c r="K361" s="41"/>
      <c r="L361" s="41"/>
      <c r="M361" s="41"/>
      <c r="N361" s="41">
        <f t="shared" si="61"/>
        <v>0</v>
      </c>
      <c r="O361" s="68">
        <f t="shared" si="62"/>
        <v>0</v>
      </c>
      <c r="P361" s="101"/>
      <c r="Q361" s="24"/>
      <c r="R361" s="24"/>
      <c r="S361" s="48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57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</row>
    <row r="362" spans="2:64" ht="12.75">
      <c r="B362" s="152">
        <v>28</v>
      </c>
      <c r="C362" s="37"/>
      <c r="D362" s="33"/>
      <c r="E362" s="88"/>
      <c r="F362" s="86"/>
      <c r="G362" s="8" t="s">
        <v>9</v>
      </c>
      <c r="H362" s="41">
        <v>0</v>
      </c>
      <c r="I362" s="86">
        <v>0</v>
      </c>
      <c r="J362" s="86"/>
      <c r="K362" s="41"/>
      <c r="L362" s="41"/>
      <c r="M362" s="41"/>
      <c r="N362" s="41">
        <f t="shared" si="61"/>
        <v>0</v>
      </c>
      <c r="O362" s="68">
        <f t="shared" si="62"/>
        <v>0</v>
      </c>
      <c r="P362" s="101"/>
      <c r="Q362" s="24"/>
      <c r="R362" s="24"/>
      <c r="S362" s="48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57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</row>
    <row r="363" spans="2:64" ht="12.75">
      <c r="B363" s="152">
        <v>28</v>
      </c>
      <c r="C363" s="37"/>
      <c r="D363" s="33"/>
      <c r="E363" s="88"/>
      <c r="F363" s="86"/>
      <c r="G363" s="8" t="s">
        <v>10</v>
      </c>
      <c r="H363" s="41">
        <v>0</v>
      </c>
      <c r="I363" s="86">
        <v>0</v>
      </c>
      <c r="J363" s="86"/>
      <c r="K363" s="41"/>
      <c r="L363" s="41"/>
      <c r="M363" s="41"/>
      <c r="N363" s="41">
        <f t="shared" si="61"/>
        <v>0</v>
      </c>
      <c r="O363" s="68">
        <f t="shared" si="62"/>
        <v>0</v>
      </c>
      <c r="P363" s="103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48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57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</row>
    <row r="364" spans="2:64" ht="12.75">
      <c r="B364" s="152">
        <v>28</v>
      </c>
      <c r="C364" s="37"/>
      <c r="D364" s="33"/>
      <c r="E364" s="88"/>
      <c r="F364" s="86"/>
      <c r="G364" s="8" t="s">
        <v>11</v>
      </c>
      <c r="H364" s="41">
        <v>0</v>
      </c>
      <c r="I364" s="86">
        <v>0</v>
      </c>
      <c r="J364" s="86"/>
      <c r="K364" s="41"/>
      <c r="L364" s="41"/>
      <c r="M364" s="41"/>
      <c r="N364" s="41">
        <f t="shared" si="61"/>
        <v>0</v>
      </c>
      <c r="O364" s="68">
        <f t="shared" si="62"/>
        <v>0</v>
      </c>
      <c r="P364" s="101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57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</row>
    <row r="365" spans="2:64" ht="12.75">
      <c r="B365" s="152">
        <v>28</v>
      </c>
      <c r="C365" s="37"/>
      <c r="D365" s="33"/>
      <c r="E365" s="88"/>
      <c r="F365" s="86"/>
      <c r="G365" s="8" t="s">
        <v>12</v>
      </c>
      <c r="H365" s="41">
        <v>2281.68</v>
      </c>
      <c r="I365" s="86">
        <v>440.82</v>
      </c>
      <c r="J365" s="86"/>
      <c r="K365" s="41"/>
      <c r="L365" s="41"/>
      <c r="M365" s="41"/>
      <c r="N365" s="41">
        <f t="shared" si="61"/>
        <v>22.041</v>
      </c>
      <c r="O365" s="68">
        <f t="shared" si="62"/>
        <v>0</v>
      </c>
      <c r="P365" s="101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57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</row>
    <row r="366" spans="2:64" ht="12.75">
      <c r="B366" s="152">
        <v>28</v>
      </c>
      <c r="C366" s="37"/>
      <c r="D366" s="33"/>
      <c r="E366" s="88"/>
      <c r="F366" s="86"/>
      <c r="G366" s="8" t="s">
        <v>13</v>
      </c>
      <c r="H366" s="41">
        <v>1140.96</v>
      </c>
      <c r="I366" s="86">
        <v>1130.96</v>
      </c>
      <c r="J366" s="86"/>
      <c r="K366" s="41"/>
      <c r="L366" s="41"/>
      <c r="M366" s="41"/>
      <c r="N366" s="41">
        <f t="shared" si="61"/>
        <v>56.548</v>
      </c>
      <c r="O366" s="68">
        <f t="shared" si="62"/>
        <v>0</v>
      </c>
      <c r="P366" s="101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57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</row>
    <row r="367" spans="2:64" ht="13.5" thickBot="1">
      <c r="B367" s="154">
        <v>28</v>
      </c>
      <c r="C367" s="183"/>
      <c r="D367" s="63"/>
      <c r="E367" s="125"/>
      <c r="F367" s="87"/>
      <c r="G367" s="12" t="s">
        <v>14</v>
      </c>
      <c r="H367" s="43">
        <v>1140.96</v>
      </c>
      <c r="I367" s="86">
        <v>1114.1</v>
      </c>
      <c r="J367" s="185"/>
      <c r="K367" s="43"/>
      <c r="L367" s="43"/>
      <c r="M367" s="43"/>
      <c r="N367" s="41">
        <f t="shared" si="61"/>
        <v>55.705</v>
      </c>
      <c r="O367" s="75">
        <f t="shared" si="62"/>
        <v>0</v>
      </c>
      <c r="P367" s="104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128">
        <f>AY355+I355+J355-K355-L355-M355-N355-O355</f>
        <v>2551.5860000000002</v>
      </c>
      <c r="AZ367"/>
      <c r="BA367"/>
      <c r="BB367"/>
      <c r="BC367"/>
      <c r="BD367"/>
      <c r="BE367"/>
      <c r="BF367"/>
      <c r="BG367"/>
      <c r="BH367"/>
      <c r="BI367"/>
      <c r="BJ367"/>
      <c r="BK367"/>
      <c r="BL367"/>
    </row>
    <row r="368" spans="2:64" ht="14.25" thickBot="1" thickTop="1">
      <c r="B368" s="155">
        <v>29</v>
      </c>
      <c r="C368" s="147" t="s">
        <v>66</v>
      </c>
      <c r="D368" s="67">
        <v>4</v>
      </c>
      <c r="E368" s="145" t="s">
        <v>145</v>
      </c>
      <c r="F368" s="203">
        <v>950.3</v>
      </c>
      <c r="G368" s="50"/>
      <c r="H368" s="69">
        <v>4559.52</v>
      </c>
      <c r="I368" s="69">
        <v>3624.9</v>
      </c>
      <c r="J368" s="69">
        <f>SUM(J369:J380)</f>
        <v>0</v>
      </c>
      <c r="K368" s="69">
        <f>SUM(K369:K380)</f>
        <v>0</v>
      </c>
      <c r="L368" s="69">
        <f>SUM(L369:L380)</f>
        <v>0</v>
      </c>
      <c r="M368" s="69">
        <f>SUM(M369:M380)</f>
        <v>0</v>
      </c>
      <c r="N368" s="69">
        <f>SUM(N369:N380)</f>
        <v>181.245</v>
      </c>
      <c r="O368" s="16">
        <f>SUM(Q368:AX368)</f>
        <v>0</v>
      </c>
      <c r="P368" s="109"/>
      <c r="Q368" s="16">
        <f>SUM(Q369:Q380)</f>
        <v>0</v>
      </c>
      <c r="R368" s="16">
        <f aca="true" t="shared" si="63" ref="R368:AX368">SUM(R369:R380)</f>
        <v>0</v>
      </c>
      <c r="S368" s="16">
        <f t="shared" si="63"/>
        <v>0</v>
      </c>
      <c r="T368" s="16">
        <f t="shared" si="63"/>
        <v>0</v>
      </c>
      <c r="U368" s="16">
        <f t="shared" si="63"/>
        <v>0</v>
      </c>
      <c r="V368" s="16">
        <f t="shared" si="63"/>
        <v>0</v>
      </c>
      <c r="W368" s="16">
        <f t="shared" si="63"/>
        <v>0</v>
      </c>
      <c r="X368" s="16">
        <f t="shared" si="63"/>
        <v>0</v>
      </c>
      <c r="Y368" s="11">
        <f t="shared" si="63"/>
        <v>0</v>
      </c>
      <c r="Z368" s="11">
        <f t="shared" si="63"/>
        <v>0</v>
      </c>
      <c r="AA368" s="11">
        <f t="shared" si="63"/>
        <v>0</v>
      </c>
      <c r="AB368" s="11">
        <f t="shared" si="63"/>
        <v>0</v>
      </c>
      <c r="AC368" s="11">
        <f t="shared" si="63"/>
        <v>0</v>
      </c>
      <c r="AD368" s="11">
        <f t="shared" si="63"/>
        <v>0</v>
      </c>
      <c r="AE368" s="11">
        <f t="shared" si="63"/>
        <v>0</v>
      </c>
      <c r="AF368" s="11">
        <f t="shared" si="63"/>
        <v>0</v>
      </c>
      <c r="AG368" s="11">
        <f t="shared" si="63"/>
        <v>0</v>
      </c>
      <c r="AH368" s="11">
        <f t="shared" si="63"/>
        <v>0</v>
      </c>
      <c r="AI368" s="11">
        <f t="shared" si="63"/>
        <v>0</v>
      </c>
      <c r="AJ368" s="11">
        <f t="shared" si="63"/>
        <v>0</v>
      </c>
      <c r="AK368" s="11">
        <f t="shared" si="63"/>
        <v>0</v>
      </c>
      <c r="AL368" s="11">
        <f t="shared" si="63"/>
        <v>0</v>
      </c>
      <c r="AM368" s="11">
        <f t="shared" si="63"/>
        <v>0</v>
      </c>
      <c r="AN368" s="11">
        <f t="shared" si="63"/>
        <v>0</v>
      </c>
      <c r="AO368" s="11">
        <f>SUM(AO369:AO380)</f>
        <v>0</v>
      </c>
      <c r="AP368" s="11">
        <f t="shared" si="63"/>
        <v>0</v>
      </c>
      <c r="AQ368" s="11">
        <f t="shared" si="63"/>
        <v>0</v>
      </c>
      <c r="AR368" s="11">
        <f t="shared" si="63"/>
        <v>0</v>
      </c>
      <c r="AS368" s="11">
        <f t="shared" si="63"/>
        <v>0</v>
      </c>
      <c r="AT368" s="11">
        <f t="shared" si="63"/>
        <v>0</v>
      </c>
      <c r="AU368" s="11">
        <f t="shared" si="63"/>
        <v>0</v>
      </c>
      <c r="AV368" s="11">
        <f t="shared" si="63"/>
        <v>0</v>
      </c>
      <c r="AW368" s="11">
        <f t="shared" si="63"/>
        <v>0</v>
      </c>
      <c r="AX368" s="11">
        <f t="shared" si="63"/>
        <v>0</v>
      </c>
      <c r="AY368" s="127">
        <v>0</v>
      </c>
      <c r="AZ368"/>
      <c r="BA368"/>
      <c r="BB368"/>
      <c r="BC368"/>
      <c r="BD368"/>
      <c r="BE368"/>
      <c r="BF368"/>
      <c r="BG368"/>
      <c r="BH368"/>
      <c r="BI368"/>
      <c r="BJ368"/>
      <c r="BK368"/>
      <c r="BL368"/>
    </row>
    <row r="369" spans="2:64" ht="13.5" thickTop="1">
      <c r="B369" s="152">
        <v>29</v>
      </c>
      <c r="C369" s="36"/>
      <c r="D369" s="31"/>
      <c r="E369" s="88" t="s">
        <v>109</v>
      </c>
      <c r="F369" s="85"/>
      <c r="G369" s="61" t="s">
        <v>3</v>
      </c>
      <c r="H369" s="41">
        <v>0</v>
      </c>
      <c r="I369" s="85">
        <v>0</v>
      </c>
      <c r="J369" s="85"/>
      <c r="K369" s="41"/>
      <c r="L369" s="41"/>
      <c r="M369" s="41"/>
      <c r="N369" s="41">
        <f aca="true" t="shared" si="64" ref="N369:N380">I369*0.05</f>
        <v>0</v>
      </c>
      <c r="O369" s="68">
        <f>SUM(Q369:AX369)</f>
        <v>0</v>
      </c>
      <c r="P369" s="106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132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</row>
    <row r="370" spans="2:64" ht="12.75">
      <c r="B370" s="152">
        <v>29</v>
      </c>
      <c r="C370" s="37"/>
      <c r="D370" s="33"/>
      <c r="E370" s="90"/>
      <c r="F370" s="86"/>
      <c r="G370" s="62" t="s">
        <v>4</v>
      </c>
      <c r="H370" s="41">
        <v>0</v>
      </c>
      <c r="I370" s="86">
        <v>0</v>
      </c>
      <c r="J370" s="86"/>
      <c r="K370" s="41"/>
      <c r="L370" s="41"/>
      <c r="M370" s="41"/>
      <c r="N370" s="41">
        <f t="shared" si="64"/>
        <v>0</v>
      </c>
      <c r="O370" s="68">
        <f aca="true" t="shared" si="65" ref="O370:O380">SUM(Q370:AX370)</f>
        <v>0</v>
      </c>
      <c r="P370" s="100"/>
      <c r="Q370" s="72"/>
      <c r="R370" s="72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48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57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</row>
    <row r="371" spans="2:64" ht="12.75">
      <c r="B371" s="152">
        <v>29</v>
      </c>
      <c r="C371" s="37"/>
      <c r="D371" s="33"/>
      <c r="E371" s="88"/>
      <c r="F371" s="86"/>
      <c r="G371" s="8" t="s">
        <v>5</v>
      </c>
      <c r="H371" s="41">
        <v>0</v>
      </c>
      <c r="I371" s="86">
        <v>0</v>
      </c>
      <c r="J371" s="86"/>
      <c r="K371" s="41"/>
      <c r="L371" s="41"/>
      <c r="M371" s="41"/>
      <c r="N371" s="41">
        <f t="shared" si="64"/>
        <v>0</v>
      </c>
      <c r="O371" s="68">
        <f t="shared" si="65"/>
        <v>0</v>
      </c>
      <c r="P371" s="101"/>
      <c r="Q371" s="72"/>
      <c r="R371" s="72"/>
      <c r="S371" s="24"/>
      <c r="T371" s="24"/>
      <c r="U371" s="24"/>
      <c r="V371" s="24"/>
      <c r="W371" s="24"/>
      <c r="X371" s="24"/>
      <c r="Y371" s="24"/>
      <c r="Z371" s="24"/>
      <c r="AA371" s="24"/>
      <c r="AB371" s="45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57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</row>
    <row r="372" spans="2:64" ht="12.75">
      <c r="B372" s="152">
        <v>29</v>
      </c>
      <c r="C372" s="37"/>
      <c r="D372" s="33"/>
      <c r="E372" s="88"/>
      <c r="F372" s="86"/>
      <c r="G372" s="8" t="s">
        <v>6</v>
      </c>
      <c r="H372" s="41">
        <v>0</v>
      </c>
      <c r="I372" s="86">
        <v>0</v>
      </c>
      <c r="J372" s="86"/>
      <c r="K372" s="41"/>
      <c r="L372" s="41"/>
      <c r="M372" s="41"/>
      <c r="N372" s="41">
        <f t="shared" si="64"/>
        <v>0</v>
      </c>
      <c r="O372" s="68">
        <f t="shared" si="65"/>
        <v>0</v>
      </c>
      <c r="P372" s="101"/>
      <c r="Q372" s="24"/>
      <c r="R372" s="24"/>
      <c r="S372" s="48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57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</row>
    <row r="373" spans="2:64" ht="12.75">
      <c r="B373" s="152">
        <v>29</v>
      </c>
      <c r="C373" s="37"/>
      <c r="D373" s="33"/>
      <c r="E373" s="88"/>
      <c r="F373" s="86"/>
      <c r="G373" s="8" t="s">
        <v>7</v>
      </c>
      <c r="H373" s="41">
        <v>0</v>
      </c>
      <c r="I373" s="86">
        <v>0</v>
      </c>
      <c r="J373" s="86"/>
      <c r="K373" s="41"/>
      <c r="L373" s="41"/>
      <c r="M373" s="41"/>
      <c r="N373" s="41">
        <f t="shared" si="64"/>
        <v>0</v>
      </c>
      <c r="O373" s="68">
        <f t="shared" si="65"/>
        <v>0</v>
      </c>
      <c r="P373" s="101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48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57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</row>
    <row r="374" spans="2:64" ht="12.75">
      <c r="B374" s="152">
        <v>29</v>
      </c>
      <c r="C374" s="37"/>
      <c r="D374" s="33"/>
      <c r="E374" s="88"/>
      <c r="F374" s="86"/>
      <c r="G374" s="8" t="s">
        <v>8</v>
      </c>
      <c r="H374" s="41">
        <v>0</v>
      </c>
      <c r="I374" s="86">
        <v>0</v>
      </c>
      <c r="J374" s="86"/>
      <c r="K374" s="41"/>
      <c r="L374" s="41"/>
      <c r="M374" s="41"/>
      <c r="N374" s="41">
        <f t="shared" si="64"/>
        <v>0</v>
      </c>
      <c r="O374" s="68">
        <f t="shared" si="65"/>
        <v>0</v>
      </c>
      <c r="P374" s="101"/>
      <c r="Q374" s="24"/>
      <c r="R374" s="24"/>
      <c r="S374" s="48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57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</row>
    <row r="375" spans="2:64" ht="12.75">
      <c r="B375" s="152">
        <v>29</v>
      </c>
      <c r="C375" s="37"/>
      <c r="D375" s="33"/>
      <c r="E375" s="88"/>
      <c r="F375" s="86"/>
      <c r="G375" s="8" t="s">
        <v>9</v>
      </c>
      <c r="H375" s="41">
        <v>0</v>
      </c>
      <c r="I375" s="86">
        <v>0</v>
      </c>
      <c r="J375" s="86"/>
      <c r="K375" s="41"/>
      <c r="L375" s="41"/>
      <c r="M375" s="41"/>
      <c r="N375" s="41">
        <f t="shared" si="64"/>
        <v>0</v>
      </c>
      <c r="O375" s="68">
        <f t="shared" si="65"/>
        <v>0</v>
      </c>
      <c r="P375" s="101"/>
      <c r="Q375" s="24"/>
      <c r="R375" s="24"/>
      <c r="S375" s="48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57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</row>
    <row r="376" spans="2:64" ht="12.75">
      <c r="B376" s="152">
        <v>29</v>
      </c>
      <c r="C376" s="37"/>
      <c r="D376" s="33"/>
      <c r="E376" s="88"/>
      <c r="F376" s="86"/>
      <c r="G376" s="8" t="s">
        <v>10</v>
      </c>
      <c r="H376" s="41">
        <v>0</v>
      </c>
      <c r="I376" s="86">
        <v>0</v>
      </c>
      <c r="J376" s="86"/>
      <c r="K376" s="41"/>
      <c r="L376" s="41"/>
      <c r="M376" s="41"/>
      <c r="N376" s="41">
        <f t="shared" si="64"/>
        <v>0</v>
      </c>
      <c r="O376" s="68">
        <f t="shared" si="65"/>
        <v>0</v>
      </c>
      <c r="P376" s="103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48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57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</row>
    <row r="377" spans="2:64" ht="12.75">
      <c r="B377" s="152">
        <v>29</v>
      </c>
      <c r="C377" s="37"/>
      <c r="D377" s="33"/>
      <c r="E377" s="88"/>
      <c r="F377" s="86"/>
      <c r="G377" s="8" t="s">
        <v>11</v>
      </c>
      <c r="H377" s="41">
        <v>0</v>
      </c>
      <c r="I377" s="86">
        <v>0</v>
      </c>
      <c r="J377" s="86"/>
      <c r="K377" s="41"/>
      <c r="L377" s="41"/>
      <c r="M377" s="41"/>
      <c r="N377" s="41">
        <f t="shared" si="64"/>
        <v>0</v>
      </c>
      <c r="O377" s="68">
        <f t="shared" si="65"/>
        <v>0</v>
      </c>
      <c r="P377" s="101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5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</row>
    <row r="378" spans="2:64" ht="12.75">
      <c r="B378" s="152">
        <v>29</v>
      </c>
      <c r="C378" s="37"/>
      <c r="D378" s="33"/>
      <c r="E378" s="88"/>
      <c r="F378" s="86"/>
      <c r="G378" s="8" t="s">
        <v>12</v>
      </c>
      <c r="H378" s="41">
        <v>2279.76</v>
      </c>
      <c r="I378" s="86">
        <v>193.12</v>
      </c>
      <c r="J378" s="86"/>
      <c r="K378" s="41"/>
      <c r="L378" s="41"/>
      <c r="M378" s="41"/>
      <c r="N378" s="41">
        <f t="shared" si="64"/>
        <v>9.656</v>
      </c>
      <c r="O378" s="68">
        <f t="shared" si="65"/>
        <v>0</v>
      </c>
      <c r="P378" s="101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57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</row>
    <row r="379" spans="2:64" ht="12.75">
      <c r="B379" s="152">
        <v>29</v>
      </c>
      <c r="C379" s="37"/>
      <c r="D379" s="33"/>
      <c r="E379" s="88"/>
      <c r="F379" s="86"/>
      <c r="G379" s="8" t="s">
        <v>13</v>
      </c>
      <c r="H379" s="41">
        <v>1139.88</v>
      </c>
      <c r="I379" s="86">
        <v>1240.57</v>
      </c>
      <c r="J379" s="86"/>
      <c r="K379" s="41"/>
      <c r="L379" s="41"/>
      <c r="M379" s="41"/>
      <c r="N379" s="41">
        <f t="shared" si="64"/>
        <v>62.0285</v>
      </c>
      <c r="O379" s="68">
        <f t="shared" si="65"/>
        <v>0</v>
      </c>
      <c r="P379" s="101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57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</row>
    <row r="380" spans="2:64" ht="13.5" thickBot="1">
      <c r="B380" s="153">
        <v>29</v>
      </c>
      <c r="C380" s="38"/>
      <c r="D380" s="35"/>
      <c r="E380" s="125"/>
      <c r="F380" s="87"/>
      <c r="G380" s="12" t="s">
        <v>14</v>
      </c>
      <c r="H380" s="43">
        <v>1139.88</v>
      </c>
      <c r="I380" s="86">
        <v>2191.21</v>
      </c>
      <c r="J380" s="185"/>
      <c r="K380" s="43"/>
      <c r="L380" s="43"/>
      <c r="M380" s="43"/>
      <c r="N380" s="41">
        <f t="shared" si="64"/>
        <v>109.5605</v>
      </c>
      <c r="O380" s="75">
        <f t="shared" si="65"/>
        <v>0</v>
      </c>
      <c r="P380" s="104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128">
        <f>AY368+I368+J368-K368-L368-M368-N368-O368</f>
        <v>3443.655</v>
      </c>
      <c r="AZ380"/>
      <c r="BA380"/>
      <c r="BB380"/>
      <c r="BC380"/>
      <c r="BD380"/>
      <c r="BE380"/>
      <c r="BF380"/>
      <c r="BG380"/>
      <c r="BH380"/>
      <c r="BI380"/>
      <c r="BJ380"/>
      <c r="BK380"/>
      <c r="BL380"/>
    </row>
    <row r="381" spans="2:64" ht="14.25" thickBot="1" thickTop="1">
      <c r="B381" s="155">
        <v>30</v>
      </c>
      <c r="C381" s="147" t="s">
        <v>239</v>
      </c>
      <c r="D381" s="67">
        <v>45</v>
      </c>
      <c r="E381" s="145" t="s">
        <v>234</v>
      </c>
      <c r="F381" s="203">
        <v>3141.7</v>
      </c>
      <c r="G381" s="50"/>
      <c r="H381" s="69">
        <v>154376.62</v>
      </c>
      <c r="I381" s="69">
        <v>134957.25</v>
      </c>
      <c r="J381" s="69">
        <f>SUM(J382:J393)</f>
        <v>0</v>
      </c>
      <c r="K381" s="69">
        <f>SUM(K382:K393)</f>
        <v>0</v>
      </c>
      <c r="L381" s="69">
        <f>SUM(L382:L393)</f>
        <v>0</v>
      </c>
      <c r="M381" s="69">
        <f>SUM(M382:M393)</f>
        <v>0</v>
      </c>
      <c r="N381" s="69">
        <f>SUM(N382:N393)</f>
        <v>6747.862500000001</v>
      </c>
      <c r="O381" s="16">
        <f>SUM(Q381:AX381)</f>
        <v>244892.12</v>
      </c>
      <c r="P381" s="109"/>
      <c r="Q381" s="16">
        <f>SUM(Q382:Q393)</f>
        <v>10114</v>
      </c>
      <c r="R381" s="16">
        <f aca="true" t="shared" si="66" ref="R381:AN381">SUM(R382:R393)</f>
        <v>14002</v>
      </c>
      <c r="S381" s="16">
        <f t="shared" si="66"/>
        <v>26466</v>
      </c>
      <c r="T381" s="16">
        <f t="shared" si="66"/>
        <v>2453</v>
      </c>
      <c r="U381" s="16">
        <f t="shared" si="66"/>
        <v>0</v>
      </c>
      <c r="V381" s="16">
        <f t="shared" si="66"/>
        <v>0</v>
      </c>
      <c r="W381" s="16">
        <f t="shared" si="66"/>
        <v>157011</v>
      </c>
      <c r="X381" s="16">
        <f t="shared" si="66"/>
        <v>0</v>
      </c>
      <c r="Y381" s="11">
        <f t="shared" si="66"/>
        <v>0</v>
      </c>
      <c r="Z381" s="11">
        <f t="shared" si="66"/>
        <v>0</v>
      </c>
      <c r="AA381" s="11">
        <f t="shared" si="66"/>
        <v>0</v>
      </c>
      <c r="AB381" s="11">
        <f t="shared" si="66"/>
        <v>0</v>
      </c>
      <c r="AC381" s="11">
        <f t="shared" si="66"/>
        <v>0</v>
      </c>
      <c r="AD381" s="11">
        <f t="shared" si="66"/>
        <v>0</v>
      </c>
      <c r="AE381" s="11">
        <f t="shared" si="66"/>
        <v>0</v>
      </c>
      <c r="AF381" s="11">
        <f t="shared" si="66"/>
        <v>495</v>
      </c>
      <c r="AG381" s="11">
        <f t="shared" si="66"/>
        <v>245</v>
      </c>
      <c r="AH381" s="11">
        <f t="shared" si="66"/>
        <v>0</v>
      </c>
      <c r="AI381" s="11">
        <f t="shared" si="66"/>
        <v>0</v>
      </c>
      <c r="AJ381" s="11">
        <f t="shared" si="66"/>
        <v>34106.12</v>
      </c>
      <c r="AK381" s="11">
        <f t="shared" si="66"/>
        <v>0</v>
      </c>
      <c r="AL381" s="11">
        <f t="shared" si="66"/>
        <v>0</v>
      </c>
      <c r="AM381" s="11">
        <f t="shared" si="66"/>
        <v>0</v>
      </c>
      <c r="AN381" s="11">
        <f t="shared" si="66"/>
        <v>0</v>
      </c>
      <c r="AO381" s="11">
        <f aca="true" t="shared" si="67" ref="AO381:AX381">SUM(AO382:AO393)</f>
        <v>0</v>
      </c>
      <c r="AP381" s="11">
        <f t="shared" si="67"/>
        <v>0</v>
      </c>
      <c r="AQ381" s="11">
        <f t="shared" si="67"/>
        <v>0</v>
      </c>
      <c r="AR381" s="11">
        <f t="shared" si="67"/>
        <v>0</v>
      </c>
      <c r="AS381" s="11">
        <f t="shared" si="67"/>
        <v>0</v>
      </c>
      <c r="AT381" s="11">
        <f t="shared" si="67"/>
        <v>0</v>
      </c>
      <c r="AU381" s="11">
        <f t="shared" si="67"/>
        <v>0</v>
      </c>
      <c r="AV381" s="11">
        <f t="shared" si="67"/>
        <v>0</v>
      </c>
      <c r="AW381" s="11">
        <f t="shared" si="67"/>
        <v>0</v>
      </c>
      <c r="AX381" s="11">
        <f t="shared" si="67"/>
        <v>0</v>
      </c>
      <c r="AY381" s="127">
        <v>0</v>
      </c>
      <c r="AZ381"/>
      <c r="BA381"/>
      <c r="BB381"/>
      <c r="BC381"/>
      <c r="BD381"/>
      <c r="BE381"/>
      <c r="BF381"/>
      <c r="BG381"/>
      <c r="BH381"/>
      <c r="BI381"/>
      <c r="BJ381"/>
      <c r="BK381"/>
      <c r="BL381"/>
    </row>
    <row r="382" spans="2:64" ht="13.5" thickTop="1">
      <c r="B382" s="152">
        <v>30</v>
      </c>
      <c r="C382" s="36"/>
      <c r="D382" s="31"/>
      <c r="E382" s="88"/>
      <c r="F382" s="85"/>
      <c r="G382" s="61" t="s">
        <v>3</v>
      </c>
      <c r="H382" s="41">
        <v>0</v>
      </c>
      <c r="I382" s="85">
        <v>0</v>
      </c>
      <c r="J382" s="85"/>
      <c r="K382" s="41"/>
      <c r="L382" s="41"/>
      <c r="M382" s="41"/>
      <c r="N382" s="41">
        <f aca="true" t="shared" si="68" ref="N382:N393">I382*0.05</f>
        <v>0</v>
      </c>
      <c r="O382" s="68">
        <f>SUM(Q382:AX382)</f>
        <v>0</v>
      </c>
      <c r="P382" s="106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13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</row>
    <row r="383" spans="2:64" ht="12.75">
      <c r="B383" s="152">
        <v>30</v>
      </c>
      <c r="C383" s="37"/>
      <c r="D383" s="33"/>
      <c r="E383" s="90"/>
      <c r="F383" s="86"/>
      <c r="G383" s="62" t="s">
        <v>4</v>
      </c>
      <c r="H383" s="41">
        <v>0</v>
      </c>
      <c r="I383" s="86">
        <v>0</v>
      </c>
      <c r="J383" s="86"/>
      <c r="K383" s="41"/>
      <c r="L383" s="41"/>
      <c r="M383" s="41"/>
      <c r="N383" s="41">
        <f t="shared" si="68"/>
        <v>0</v>
      </c>
      <c r="O383" s="68">
        <f aca="true" t="shared" si="69" ref="O383:O393">SUM(Q383:AX383)</f>
        <v>0</v>
      </c>
      <c r="P383" s="100"/>
      <c r="Q383" s="72"/>
      <c r="R383" s="72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48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57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</row>
    <row r="384" spans="2:64" ht="12.75">
      <c r="B384" s="152">
        <v>30</v>
      </c>
      <c r="C384" s="37"/>
      <c r="D384" s="33"/>
      <c r="E384" s="88"/>
      <c r="F384" s="86"/>
      <c r="G384" s="8" t="s">
        <v>5</v>
      </c>
      <c r="H384" s="41">
        <v>15080.16</v>
      </c>
      <c r="I384" s="86">
        <v>0</v>
      </c>
      <c r="J384" s="86"/>
      <c r="K384" s="41"/>
      <c r="L384" s="41"/>
      <c r="M384" s="41"/>
      <c r="N384" s="41">
        <f t="shared" si="68"/>
        <v>0</v>
      </c>
      <c r="O384" s="68">
        <f t="shared" si="69"/>
        <v>34106.12</v>
      </c>
      <c r="P384" s="101"/>
      <c r="Q384" s="72"/>
      <c r="R384" s="72"/>
      <c r="S384" s="24"/>
      <c r="T384" s="24"/>
      <c r="U384" s="24"/>
      <c r="V384" s="24"/>
      <c r="W384" s="24"/>
      <c r="X384" s="24"/>
      <c r="Y384" s="24"/>
      <c r="Z384" s="24"/>
      <c r="AA384" s="24"/>
      <c r="AB384" s="45"/>
      <c r="AC384" s="24"/>
      <c r="AD384" s="24"/>
      <c r="AE384" s="24"/>
      <c r="AF384" s="24"/>
      <c r="AG384" s="24"/>
      <c r="AH384" s="24"/>
      <c r="AI384" s="24"/>
      <c r="AJ384" s="48">
        <v>34106.12</v>
      </c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57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</row>
    <row r="385" spans="2:64" ht="12.75">
      <c r="B385" s="152">
        <v>30</v>
      </c>
      <c r="C385" s="37"/>
      <c r="D385" s="33"/>
      <c r="E385" s="88"/>
      <c r="F385" s="86"/>
      <c r="G385" s="8" t="s">
        <v>6</v>
      </c>
      <c r="H385" s="41">
        <v>15080.16</v>
      </c>
      <c r="I385" s="86">
        <v>10887.48</v>
      </c>
      <c r="J385" s="86"/>
      <c r="K385" s="41"/>
      <c r="L385" s="41"/>
      <c r="M385" s="41"/>
      <c r="N385" s="41">
        <f t="shared" si="68"/>
        <v>544.374</v>
      </c>
      <c r="O385" s="68">
        <f t="shared" si="69"/>
        <v>0</v>
      </c>
      <c r="P385" s="101"/>
      <c r="Q385" s="24"/>
      <c r="R385" s="24"/>
      <c r="S385" s="48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57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</row>
    <row r="386" spans="2:64" ht="12.75">
      <c r="B386" s="152">
        <v>30</v>
      </c>
      <c r="C386" s="37"/>
      <c r="D386" s="33"/>
      <c r="E386" s="88"/>
      <c r="F386" s="86"/>
      <c r="G386" s="8" t="s">
        <v>7</v>
      </c>
      <c r="H386" s="41">
        <v>15080.16</v>
      </c>
      <c r="I386" s="86">
        <v>14147.8</v>
      </c>
      <c r="J386" s="86"/>
      <c r="K386" s="41"/>
      <c r="L386" s="41"/>
      <c r="M386" s="41"/>
      <c r="N386" s="41">
        <f t="shared" si="68"/>
        <v>707.39</v>
      </c>
      <c r="O386" s="68">
        <f t="shared" si="69"/>
        <v>5612</v>
      </c>
      <c r="P386" s="101" t="s">
        <v>177</v>
      </c>
      <c r="Q386" s="24"/>
      <c r="R386" s="24"/>
      <c r="S386" s="48">
        <v>5612</v>
      </c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48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57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</row>
    <row r="387" spans="2:64" ht="12.75">
      <c r="B387" s="152">
        <v>30</v>
      </c>
      <c r="C387" s="37"/>
      <c r="D387" s="33"/>
      <c r="E387" s="88"/>
      <c r="F387" s="86"/>
      <c r="G387" s="8" t="s">
        <v>8</v>
      </c>
      <c r="H387" s="41">
        <v>15079.2</v>
      </c>
      <c r="I387" s="86">
        <v>14553.32</v>
      </c>
      <c r="J387" s="86"/>
      <c r="K387" s="41"/>
      <c r="L387" s="41"/>
      <c r="M387" s="41"/>
      <c r="N387" s="41">
        <f t="shared" si="68"/>
        <v>727.666</v>
      </c>
      <c r="O387" s="68">
        <f t="shared" si="69"/>
        <v>0</v>
      </c>
      <c r="P387" s="101" t="s">
        <v>267</v>
      </c>
      <c r="Q387" s="24"/>
      <c r="R387" s="24"/>
      <c r="S387" s="48"/>
      <c r="T387" s="24"/>
      <c r="U387" s="24"/>
      <c r="V387" s="24"/>
      <c r="W387" s="24"/>
      <c r="X387" s="48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5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</row>
    <row r="388" spans="2:64" ht="12.75">
      <c r="B388" s="152">
        <v>30</v>
      </c>
      <c r="C388" s="37"/>
      <c r="D388" s="33"/>
      <c r="E388" s="88"/>
      <c r="F388" s="86"/>
      <c r="G388" s="8" t="s">
        <v>9</v>
      </c>
      <c r="H388" s="41">
        <v>8953.45</v>
      </c>
      <c r="I388" s="86">
        <v>12538.71</v>
      </c>
      <c r="J388" s="86"/>
      <c r="K388" s="41"/>
      <c r="L388" s="41"/>
      <c r="M388" s="41"/>
      <c r="N388" s="41">
        <f t="shared" si="68"/>
        <v>626.9355</v>
      </c>
      <c r="O388" s="68">
        <f t="shared" si="69"/>
        <v>14002</v>
      </c>
      <c r="P388" s="101" t="s">
        <v>297</v>
      </c>
      <c r="Q388" s="24"/>
      <c r="R388" s="48">
        <v>14002</v>
      </c>
      <c r="S388" s="48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57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</row>
    <row r="389" spans="2:64" ht="12.75">
      <c r="B389" s="152">
        <v>30</v>
      </c>
      <c r="C389" s="37"/>
      <c r="D389" s="33"/>
      <c r="E389" s="90"/>
      <c r="F389" s="86"/>
      <c r="G389" s="8" t="s">
        <v>10</v>
      </c>
      <c r="H389" s="41">
        <v>8953.45</v>
      </c>
      <c r="I389" s="86">
        <v>9134.86</v>
      </c>
      <c r="J389" s="86"/>
      <c r="K389" s="41"/>
      <c r="L389" s="41"/>
      <c r="M389" s="41"/>
      <c r="N389" s="41">
        <f t="shared" si="68"/>
        <v>456.74300000000005</v>
      </c>
      <c r="O389" s="68">
        <f t="shared" si="69"/>
        <v>0</v>
      </c>
      <c r="P389" s="103"/>
      <c r="Q389" s="24"/>
      <c r="R389" s="24"/>
      <c r="S389" s="24"/>
      <c r="T389" s="24"/>
      <c r="U389" s="24"/>
      <c r="V389" s="24"/>
      <c r="W389" s="48"/>
      <c r="X389" s="24"/>
      <c r="Y389" s="24"/>
      <c r="Z389" s="24"/>
      <c r="AA389" s="24"/>
      <c r="AB389" s="24"/>
      <c r="AC389" s="24"/>
      <c r="AD389" s="24"/>
      <c r="AE389" s="24"/>
      <c r="AF389" s="24"/>
      <c r="AG389" s="48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57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</row>
    <row r="390" spans="2:64" ht="12.75">
      <c r="B390" s="152">
        <v>30</v>
      </c>
      <c r="C390" s="37"/>
      <c r="D390" s="33"/>
      <c r="E390" s="88"/>
      <c r="F390" s="86"/>
      <c r="G390" s="8" t="s">
        <v>11</v>
      </c>
      <c r="H390" s="41">
        <v>8953.45</v>
      </c>
      <c r="I390" s="86">
        <v>7334.73</v>
      </c>
      <c r="J390" s="86"/>
      <c r="K390" s="41"/>
      <c r="L390" s="41"/>
      <c r="M390" s="41"/>
      <c r="N390" s="41">
        <f t="shared" si="68"/>
        <v>366.7365</v>
      </c>
      <c r="O390" s="68">
        <f t="shared" si="69"/>
        <v>179851</v>
      </c>
      <c r="P390" s="101" t="s">
        <v>383</v>
      </c>
      <c r="Q390" s="48">
        <v>1986</v>
      </c>
      <c r="R390" s="24"/>
      <c r="S390" s="48">
        <v>20854</v>
      </c>
      <c r="T390" s="24"/>
      <c r="U390" s="24"/>
      <c r="V390" s="48"/>
      <c r="W390" s="48">
        <v>157011</v>
      </c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57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</row>
    <row r="391" spans="2:64" ht="12.75">
      <c r="B391" s="152">
        <v>30</v>
      </c>
      <c r="C391" s="37"/>
      <c r="D391" s="33"/>
      <c r="E391" s="88"/>
      <c r="F391" s="86"/>
      <c r="G391" s="8" t="s">
        <v>12</v>
      </c>
      <c r="H391" s="41">
        <v>29121.57</v>
      </c>
      <c r="I391" s="86">
        <v>13258.27</v>
      </c>
      <c r="J391" s="86"/>
      <c r="K391" s="41"/>
      <c r="L391" s="41"/>
      <c r="M391" s="41"/>
      <c r="N391" s="41">
        <f t="shared" si="68"/>
        <v>662.9135000000001</v>
      </c>
      <c r="O391" s="68">
        <f t="shared" si="69"/>
        <v>9584</v>
      </c>
      <c r="P391" s="101" t="s">
        <v>382</v>
      </c>
      <c r="Q391" s="48">
        <v>8128</v>
      </c>
      <c r="R391" s="24"/>
      <c r="S391" s="24"/>
      <c r="T391" s="48">
        <v>961</v>
      </c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48">
        <v>495</v>
      </c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57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</row>
    <row r="392" spans="2:64" ht="12.75">
      <c r="B392" s="152">
        <v>30</v>
      </c>
      <c r="C392" s="37"/>
      <c r="D392" s="33"/>
      <c r="E392" s="88"/>
      <c r="F392" s="86"/>
      <c r="G392" s="8" t="s">
        <v>13</v>
      </c>
      <c r="H392" s="41">
        <v>19037.51</v>
      </c>
      <c r="I392" s="86">
        <v>29014.7</v>
      </c>
      <c r="J392" s="86"/>
      <c r="K392" s="41"/>
      <c r="L392" s="41"/>
      <c r="M392" s="41"/>
      <c r="N392" s="41">
        <f t="shared" si="68"/>
        <v>1450.7350000000001</v>
      </c>
      <c r="O392" s="68">
        <f t="shared" si="69"/>
        <v>1737</v>
      </c>
      <c r="P392" s="101" t="s">
        <v>335</v>
      </c>
      <c r="Q392" s="24"/>
      <c r="R392" s="24"/>
      <c r="S392" s="24"/>
      <c r="T392" s="48">
        <v>1492</v>
      </c>
      <c r="U392" s="24"/>
      <c r="V392" s="48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48">
        <v>245</v>
      </c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57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</row>
    <row r="393" spans="2:64" ht="13.5" thickBot="1">
      <c r="B393" s="152">
        <v>30</v>
      </c>
      <c r="C393" s="38"/>
      <c r="D393" s="35"/>
      <c r="E393" s="125"/>
      <c r="F393" s="87"/>
      <c r="G393" s="12" t="s">
        <v>14</v>
      </c>
      <c r="H393" s="43">
        <v>19037.51</v>
      </c>
      <c r="I393" s="86">
        <v>24087.38</v>
      </c>
      <c r="J393" s="185"/>
      <c r="K393" s="43"/>
      <c r="L393" s="43"/>
      <c r="M393" s="43"/>
      <c r="N393" s="41">
        <f t="shared" si="68"/>
        <v>1204.3690000000001</v>
      </c>
      <c r="O393" s="75">
        <f t="shared" si="69"/>
        <v>0</v>
      </c>
      <c r="P393" s="104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128">
        <f>AY381+I381+J381-K381-L381-M381-N381-O381</f>
        <v>-116682.7325</v>
      </c>
      <c r="AZ393"/>
      <c r="BA393"/>
      <c r="BB393"/>
      <c r="BC393"/>
      <c r="BD393"/>
      <c r="BE393"/>
      <c r="BF393"/>
      <c r="BG393"/>
      <c r="BH393"/>
      <c r="BI393"/>
      <c r="BJ393"/>
      <c r="BK393"/>
      <c r="BL393"/>
    </row>
    <row r="394" spans="2:64" ht="14.25" thickBot="1" thickTop="1">
      <c r="B394" s="155">
        <v>31</v>
      </c>
      <c r="C394" s="147" t="s">
        <v>239</v>
      </c>
      <c r="D394" s="67">
        <v>43</v>
      </c>
      <c r="E394" s="145" t="s">
        <v>234</v>
      </c>
      <c r="F394" s="203">
        <v>2902.7</v>
      </c>
      <c r="G394" s="50"/>
      <c r="H394" s="69">
        <v>126902.79999999997</v>
      </c>
      <c r="I394" s="69">
        <v>95247.76999999999</v>
      </c>
      <c r="J394" s="69">
        <f>SUM(J395:J406)</f>
        <v>0</v>
      </c>
      <c r="K394" s="69">
        <f>SUM(K395:K406)</f>
        <v>0</v>
      </c>
      <c r="L394" s="69">
        <f>SUM(L395:L406)</f>
        <v>0</v>
      </c>
      <c r="M394" s="69">
        <f>SUM(M395:M406)</f>
        <v>0</v>
      </c>
      <c r="N394" s="69">
        <f>SUM(N395:N406)</f>
        <v>4762.388500000001</v>
      </c>
      <c r="O394" s="16">
        <f aca="true" t="shared" si="70" ref="O394:O402">SUM(Q394:AX394)</f>
        <v>527850.5</v>
      </c>
      <c r="P394" s="109"/>
      <c r="Q394" s="16">
        <f>SUM(Q395:Q406)</f>
        <v>15008.5</v>
      </c>
      <c r="R394" s="16">
        <f aca="true" t="shared" si="71" ref="R394:AN394">SUM(R395:R406)</f>
        <v>7665</v>
      </c>
      <c r="S394" s="16">
        <f t="shared" si="71"/>
        <v>27175</v>
      </c>
      <c r="T394" s="16">
        <f t="shared" si="71"/>
        <v>0</v>
      </c>
      <c r="U394" s="16">
        <f t="shared" si="71"/>
        <v>0</v>
      </c>
      <c r="V394" s="16">
        <f t="shared" si="71"/>
        <v>23029</v>
      </c>
      <c r="W394" s="16">
        <f t="shared" si="71"/>
        <v>0</v>
      </c>
      <c r="X394" s="16">
        <f t="shared" si="71"/>
        <v>3268</v>
      </c>
      <c r="Y394" s="11">
        <f>SUM(Y395:Y406)</f>
        <v>465</v>
      </c>
      <c r="Z394" s="11">
        <f t="shared" si="71"/>
        <v>0</v>
      </c>
      <c r="AA394" s="11">
        <f t="shared" si="71"/>
        <v>0</v>
      </c>
      <c r="AB394" s="11">
        <f t="shared" si="71"/>
        <v>0</v>
      </c>
      <c r="AC394" s="11">
        <f t="shared" si="71"/>
        <v>0</v>
      </c>
      <c r="AD394" s="11">
        <f t="shared" si="71"/>
        <v>0</v>
      </c>
      <c r="AE394" s="11">
        <f t="shared" si="71"/>
        <v>0</v>
      </c>
      <c r="AF394" s="11">
        <f t="shared" si="71"/>
        <v>0</v>
      </c>
      <c r="AG394" s="11">
        <f t="shared" si="71"/>
        <v>0</v>
      </c>
      <c r="AH394" s="11">
        <f t="shared" si="71"/>
        <v>449362</v>
      </c>
      <c r="AI394" s="11">
        <f t="shared" si="71"/>
        <v>0</v>
      </c>
      <c r="AJ394" s="11">
        <f t="shared" si="71"/>
        <v>0</v>
      </c>
      <c r="AK394" s="11">
        <f t="shared" si="71"/>
        <v>0</v>
      </c>
      <c r="AL394" s="11">
        <f t="shared" si="71"/>
        <v>1878</v>
      </c>
      <c r="AM394" s="11">
        <f t="shared" si="71"/>
        <v>0</v>
      </c>
      <c r="AN394" s="11">
        <f t="shared" si="71"/>
        <v>0</v>
      </c>
      <c r="AO394" s="11">
        <f aca="true" t="shared" si="72" ref="AO394:AX394">SUM(AO395:AO406)</f>
        <v>0</v>
      </c>
      <c r="AP394" s="11">
        <f t="shared" si="72"/>
        <v>0</v>
      </c>
      <c r="AQ394" s="11">
        <f t="shared" si="72"/>
        <v>0</v>
      </c>
      <c r="AR394" s="11">
        <f t="shared" si="72"/>
        <v>0</v>
      </c>
      <c r="AS394" s="11">
        <f t="shared" si="72"/>
        <v>0</v>
      </c>
      <c r="AT394" s="11">
        <f t="shared" si="72"/>
        <v>0</v>
      </c>
      <c r="AU394" s="11">
        <f t="shared" si="72"/>
        <v>0</v>
      </c>
      <c r="AV394" s="11">
        <f t="shared" si="72"/>
        <v>0</v>
      </c>
      <c r="AW394" s="11">
        <f t="shared" si="72"/>
        <v>0</v>
      </c>
      <c r="AX394" s="11">
        <f t="shared" si="72"/>
        <v>0</v>
      </c>
      <c r="AY394" s="127">
        <v>0</v>
      </c>
      <c r="AZ394"/>
      <c r="BA394"/>
      <c r="BB394"/>
      <c r="BC394"/>
      <c r="BD394"/>
      <c r="BE394"/>
      <c r="BF394"/>
      <c r="BG394"/>
      <c r="BH394"/>
      <c r="BI394"/>
      <c r="BJ394"/>
      <c r="BK394"/>
      <c r="BL394"/>
    </row>
    <row r="395" spans="2:64" ht="13.5" thickTop="1">
      <c r="B395" s="152">
        <v>31</v>
      </c>
      <c r="C395" s="36"/>
      <c r="D395" s="31"/>
      <c r="E395" s="88"/>
      <c r="F395" s="85"/>
      <c r="G395" s="61" t="s">
        <v>3</v>
      </c>
      <c r="H395" s="41">
        <v>0</v>
      </c>
      <c r="I395" s="85">
        <v>0</v>
      </c>
      <c r="J395" s="85"/>
      <c r="K395" s="41"/>
      <c r="L395" s="41"/>
      <c r="M395" s="41"/>
      <c r="N395" s="41">
        <f aca="true" t="shared" si="73" ref="N395:N406">I395*0.05</f>
        <v>0</v>
      </c>
      <c r="O395" s="68">
        <f t="shared" si="70"/>
        <v>0</v>
      </c>
      <c r="P395" s="106"/>
      <c r="Q395" s="39"/>
      <c r="R395" s="39"/>
      <c r="S395" s="39"/>
      <c r="T395" s="39"/>
      <c r="U395" s="39"/>
      <c r="V395" s="39"/>
      <c r="W395" s="39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132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</row>
    <row r="396" spans="2:64" ht="12.75">
      <c r="B396" s="152">
        <v>31</v>
      </c>
      <c r="C396" s="37"/>
      <c r="D396" s="33"/>
      <c r="E396" s="90"/>
      <c r="F396" s="86"/>
      <c r="G396" s="62" t="s">
        <v>4</v>
      </c>
      <c r="H396" s="41">
        <v>0</v>
      </c>
      <c r="I396" s="86">
        <v>0</v>
      </c>
      <c r="J396" s="86"/>
      <c r="K396" s="41"/>
      <c r="L396" s="41"/>
      <c r="M396" s="41"/>
      <c r="N396" s="41">
        <f t="shared" si="73"/>
        <v>0</v>
      </c>
      <c r="O396" s="68">
        <f t="shared" si="70"/>
        <v>985</v>
      </c>
      <c r="P396" s="100" t="s">
        <v>243</v>
      </c>
      <c r="Q396" s="48">
        <v>985</v>
      </c>
      <c r="R396" s="48"/>
      <c r="S396" s="48"/>
      <c r="T396" s="48"/>
      <c r="U396" s="48"/>
      <c r="V396" s="48"/>
      <c r="W396" s="48"/>
      <c r="X396" s="24"/>
      <c r="Y396" s="24"/>
      <c r="Z396" s="24"/>
      <c r="AA396" s="24"/>
      <c r="AB396" s="24"/>
      <c r="AC396" s="24"/>
      <c r="AD396" s="24"/>
      <c r="AE396" s="24"/>
      <c r="AF396" s="48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57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</row>
    <row r="397" spans="2:64" ht="12.75">
      <c r="B397" s="152">
        <v>31</v>
      </c>
      <c r="C397" s="37"/>
      <c r="D397" s="33"/>
      <c r="E397" s="88"/>
      <c r="F397" s="86"/>
      <c r="G397" s="8" t="s">
        <v>5</v>
      </c>
      <c r="H397" s="41">
        <v>10681.89</v>
      </c>
      <c r="I397" s="86">
        <v>0</v>
      </c>
      <c r="J397" s="86"/>
      <c r="K397" s="41"/>
      <c r="L397" s="41"/>
      <c r="M397" s="41"/>
      <c r="N397" s="41">
        <f t="shared" si="73"/>
        <v>0</v>
      </c>
      <c r="O397" s="68">
        <f t="shared" si="70"/>
        <v>3124</v>
      </c>
      <c r="P397" s="101" t="s">
        <v>241</v>
      </c>
      <c r="Q397" s="48">
        <v>3124</v>
      </c>
      <c r="R397" s="48"/>
      <c r="S397" s="48"/>
      <c r="T397" s="48"/>
      <c r="U397" s="48"/>
      <c r="V397" s="48"/>
      <c r="W397" s="48"/>
      <c r="X397" s="24"/>
      <c r="Y397" s="24"/>
      <c r="Z397" s="24"/>
      <c r="AA397" s="24"/>
      <c r="AB397" s="45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5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</row>
    <row r="398" spans="2:64" ht="12.75">
      <c r="B398" s="152">
        <v>31</v>
      </c>
      <c r="C398" s="37"/>
      <c r="D398" s="33"/>
      <c r="E398" s="88"/>
      <c r="F398" s="86"/>
      <c r="G398" s="8" t="s">
        <v>6</v>
      </c>
      <c r="H398" s="41">
        <v>10681.89</v>
      </c>
      <c r="I398" s="86">
        <v>7122.13</v>
      </c>
      <c r="J398" s="86"/>
      <c r="K398" s="41"/>
      <c r="L398" s="41"/>
      <c r="M398" s="41"/>
      <c r="N398" s="41">
        <f t="shared" si="73"/>
        <v>356.10650000000004</v>
      </c>
      <c r="O398" s="68">
        <f t="shared" si="70"/>
        <v>0</v>
      </c>
      <c r="P398" s="101"/>
      <c r="Q398" s="48"/>
      <c r="R398" s="48"/>
      <c r="S398" s="48"/>
      <c r="T398" s="48"/>
      <c r="U398" s="48"/>
      <c r="V398" s="48"/>
      <c r="W398" s="48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57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</row>
    <row r="399" spans="2:64" ht="12.75">
      <c r="B399" s="152">
        <v>31</v>
      </c>
      <c r="C399" s="37"/>
      <c r="D399" s="33"/>
      <c r="E399" s="88"/>
      <c r="F399" s="86"/>
      <c r="G399" s="8" t="s">
        <v>7</v>
      </c>
      <c r="H399" s="41">
        <v>7932.89</v>
      </c>
      <c r="I399" s="86">
        <v>9339.8</v>
      </c>
      <c r="J399" s="86"/>
      <c r="K399" s="41"/>
      <c r="L399" s="41"/>
      <c r="M399" s="41"/>
      <c r="N399" s="41">
        <f t="shared" si="73"/>
        <v>466.99</v>
      </c>
      <c r="O399" s="68">
        <f t="shared" si="70"/>
        <v>12628.5</v>
      </c>
      <c r="P399" s="101" t="s">
        <v>244</v>
      </c>
      <c r="Q399" s="48">
        <f>1439+1735+2323.5</f>
        <v>5497.5</v>
      </c>
      <c r="R399" s="48"/>
      <c r="S399" s="48">
        <v>7131</v>
      </c>
      <c r="T399" s="48"/>
      <c r="U399" s="48"/>
      <c r="V399" s="48"/>
      <c r="W399" s="48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48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57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</row>
    <row r="400" spans="2:64" ht="12.75">
      <c r="B400" s="152">
        <v>31</v>
      </c>
      <c r="C400" s="37"/>
      <c r="D400" s="33"/>
      <c r="E400" s="88"/>
      <c r="F400" s="86"/>
      <c r="G400" s="8" t="s">
        <v>8</v>
      </c>
      <c r="H400" s="41">
        <v>10681.89</v>
      </c>
      <c r="I400" s="86">
        <v>7875.61</v>
      </c>
      <c r="J400" s="86"/>
      <c r="K400" s="41"/>
      <c r="L400" s="41"/>
      <c r="M400" s="41"/>
      <c r="N400" s="41">
        <f t="shared" si="73"/>
        <v>393.7805</v>
      </c>
      <c r="O400" s="68">
        <f t="shared" si="70"/>
        <v>0</v>
      </c>
      <c r="P400" s="101"/>
      <c r="Q400" s="48"/>
      <c r="R400" s="48"/>
      <c r="S400" s="48"/>
      <c r="T400" s="48"/>
      <c r="U400" s="48"/>
      <c r="V400" s="48"/>
      <c r="W400" s="48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57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</row>
    <row r="401" spans="2:64" ht="12.75">
      <c r="B401" s="152">
        <v>31</v>
      </c>
      <c r="C401" s="37"/>
      <c r="D401" s="33"/>
      <c r="E401" s="88"/>
      <c r="F401" s="86"/>
      <c r="G401" s="8" t="s">
        <v>9</v>
      </c>
      <c r="H401" s="41">
        <v>8272.84</v>
      </c>
      <c r="I401" s="86">
        <v>7848.88</v>
      </c>
      <c r="J401" s="86"/>
      <c r="K401" s="41"/>
      <c r="L401" s="41"/>
      <c r="M401" s="41"/>
      <c r="N401" s="41">
        <f t="shared" si="73"/>
        <v>392.444</v>
      </c>
      <c r="O401" s="68">
        <f t="shared" si="70"/>
        <v>0</v>
      </c>
      <c r="P401" s="101"/>
      <c r="Q401" s="48"/>
      <c r="R401" s="48"/>
      <c r="S401" s="48"/>
      <c r="T401" s="48"/>
      <c r="U401" s="48"/>
      <c r="V401" s="48"/>
      <c r="W401" s="48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57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</row>
    <row r="402" spans="2:64" ht="12.75">
      <c r="B402" s="152">
        <v>31</v>
      </c>
      <c r="C402" s="37"/>
      <c r="D402" s="33"/>
      <c r="E402" s="88"/>
      <c r="F402" s="86"/>
      <c r="G402" s="8" t="s">
        <v>10</v>
      </c>
      <c r="H402" s="41">
        <v>8272.84</v>
      </c>
      <c r="I402" s="86">
        <v>6389.31</v>
      </c>
      <c r="J402" s="86"/>
      <c r="K402" s="41"/>
      <c r="L402" s="41"/>
      <c r="M402" s="41"/>
      <c r="N402" s="41">
        <f t="shared" si="73"/>
        <v>319.4655</v>
      </c>
      <c r="O402" s="68">
        <f t="shared" si="70"/>
        <v>0</v>
      </c>
      <c r="P402" s="103" t="s">
        <v>235</v>
      </c>
      <c r="Q402" s="48"/>
      <c r="R402" s="48"/>
      <c r="S402" s="48"/>
      <c r="T402" s="48"/>
      <c r="U402" s="48"/>
      <c r="V402" s="48"/>
      <c r="W402" s="48"/>
      <c r="X402" s="24"/>
      <c r="Y402" s="24"/>
      <c r="Z402" s="24"/>
      <c r="AA402" s="24"/>
      <c r="AB402" s="24"/>
      <c r="AC402" s="24"/>
      <c r="AD402" s="24"/>
      <c r="AE402" s="24"/>
      <c r="AF402" s="24"/>
      <c r="AG402" s="48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57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</row>
    <row r="403" spans="2:64" ht="12.75">
      <c r="B403" s="152">
        <v>31</v>
      </c>
      <c r="C403" s="37"/>
      <c r="D403" s="33"/>
      <c r="E403" s="88"/>
      <c r="F403" s="86"/>
      <c r="G403" s="8" t="s">
        <v>11</v>
      </c>
      <c r="H403" s="41">
        <v>8272.84</v>
      </c>
      <c r="I403" s="86">
        <v>8484.21</v>
      </c>
      <c r="J403" s="86"/>
      <c r="K403" s="41"/>
      <c r="L403" s="41"/>
      <c r="M403" s="41"/>
      <c r="N403" s="41">
        <f t="shared" si="73"/>
        <v>424.21049999999997</v>
      </c>
      <c r="O403" s="68">
        <f aca="true" t="shared" si="74" ref="O403:O409">SUM(Q403:AX403)</f>
        <v>2948</v>
      </c>
      <c r="P403" s="101" t="s">
        <v>309</v>
      </c>
      <c r="Q403" s="48">
        <v>2551</v>
      </c>
      <c r="R403" s="48"/>
      <c r="S403" s="48">
        <v>397</v>
      </c>
      <c r="T403" s="48"/>
      <c r="U403" s="48"/>
      <c r="V403" s="48"/>
      <c r="W403" s="48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57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</row>
    <row r="404" spans="2:64" ht="12.75">
      <c r="B404" s="152">
        <v>31</v>
      </c>
      <c r="C404" s="37"/>
      <c r="D404" s="33"/>
      <c r="E404" s="88"/>
      <c r="F404" s="86"/>
      <c r="G404" s="8" t="s">
        <v>12</v>
      </c>
      <c r="H404" s="41">
        <v>26907.96</v>
      </c>
      <c r="I404" s="86">
        <v>9631.18</v>
      </c>
      <c r="J404" s="86"/>
      <c r="K404" s="41"/>
      <c r="L404" s="41"/>
      <c r="M404" s="41"/>
      <c r="N404" s="41">
        <f t="shared" si="73"/>
        <v>481.559</v>
      </c>
      <c r="O404" s="68">
        <f t="shared" si="74"/>
        <v>58338</v>
      </c>
      <c r="P404" s="101"/>
      <c r="Q404" s="48">
        <f>764+2087</f>
        <v>2851</v>
      </c>
      <c r="R404" s="48">
        <v>7665</v>
      </c>
      <c r="S404" s="48">
        <v>19647</v>
      </c>
      <c r="T404" s="48"/>
      <c r="U404" s="48"/>
      <c r="V404" s="48">
        <v>23029</v>
      </c>
      <c r="W404" s="48"/>
      <c r="X404" s="48">
        <v>3268</v>
      </c>
      <c r="Y404" s="48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48">
        <v>1878</v>
      </c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57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</row>
    <row r="405" spans="2:64" ht="12.75">
      <c r="B405" s="152">
        <v>31</v>
      </c>
      <c r="C405" s="37"/>
      <c r="D405" s="33"/>
      <c r="E405" s="88"/>
      <c r="F405" s="86"/>
      <c r="G405" s="8" t="s">
        <v>13</v>
      </c>
      <c r="H405" s="41">
        <v>17591</v>
      </c>
      <c r="I405" s="86">
        <v>16365.83</v>
      </c>
      <c r="J405" s="86"/>
      <c r="K405" s="41"/>
      <c r="L405" s="41"/>
      <c r="M405" s="41"/>
      <c r="N405" s="41">
        <f t="shared" si="73"/>
        <v>818.2915</v>
      </c>
      <c r="O405" s="68">
        <f t="shared" si="74"/>
        <v>465</v>
      </c>
      <c r="P405" s="101"/>
      <c r="Q405" s="48"/>
      <c r="R405" s="48"/>
      <c r="S405" s="48"/>
      <c r="T405" s="48"/>
      <c r="U405" s="48"/>
      <c r="V405" s="48"/>
      <c r="W405" s="48"/>
      <c r="X405" s="48"/>
      <c r="Y405" s="48">
        <v>465</v>
      </c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57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</row>
    <row r="406" spans="2:64" ht="13.5" thickBot="1">
      <c r="B406" s="152">
        <v>31</v>
      </c>
      <c r="C406" s="38"/>
      <c r="D406" s="35"/>
      <c r="E406" s="125"/>
      <c r="F406" s="87"/>
      <c r="G406" s="12" t="s">
        <v>14</v>
      </c>
      <c r="H406" s="43">
        <v>17606.76</v>
      </c>
      <c r="I406" s="86">
        <v>22190.82</v>
      </c>
      <c r="J406" s="185"/>
      <c r="K406" s="43"/>
      <c r="L406" s="43"/>
      <c r="M406" s="43"/>
      <c r="N406" s="41">
        <f t="shared" si="73"/>
        <v>1109.541</v>
      </c>
      <c r="O406" s="75">
        <f t="shared" si="74"/>
        <v>449362</v>
      </c>
      <c r="P406" s="104"/>
      <c r="Q406" s="49"/>
      <c r="R406" s="49"/>
      <c r="S406" s="49"/>
      <c r="T406" s="49"/>
      <c r="U406" s="49"/>
      <c r="V406" s="49"/>
      <c r="W406" s="49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>
        <v>449362</v>
      </c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128">
        <f>AY394+I394+J394-K394-L394-M394-N394-O394</f>
        <v>-437365.1185</v>
      </c>
      <c r="AZ406"/>
      <c r="BA406"/>
      <c r="BB406"/>
      <c r="BC406"/>
      <c r="BD406"/>
      <c r="BE406"/>
      <c r="BF406"/>
      <c r="BG406"/>
      <c r="BH406"/>
      <c r="BI406"/>
      <c r="BJ406"/>
      <c r="BK406"/>
      <c r="BL406"/>
    </row>
    <row r="407" spans="2:64" ht="14.25" thickBot="1" thickTop="1">
      <c r="B407" s="155">
        <v>32</v>
      </c>
      <c r="C407" s="147" t="s">
        <v>66</v>
      </c>
      <c r="D407" s="67">
        <v>6</v>
      </c>
      <c r="E407" s="125"/>
      <c r="F407" s="207"/>
      <c r="G407" s="50"/>
      <c r="H407" s="69">
        <v>995.62</v>
      </c>
      <c r="I407" s="69">
        <v>753.96</v>
      </c>
      <c r="J407" s="69">
        <f>SUM(J408:J419)</f>
        <v>0</v>
      </c>
      <c r="K407" s="69">
        <f>SUM(K408:K419)</f>
        <v>0</v>
      </c>
      <c r="L407" s="69">
        <f>SUM(L408:L419)</f>
        <v>0</v>
      </c>
      <c r="M407" s="69">
        <f>SUM(M408:M419)</f>
        <v>0</v>
      </c>
      <c r="N407" s="69">
        <f>SUM(N408:N419)</f>
        <v>37.698</v>
      </c>
      <c r="O407" s="16">
        <f t="shared" si="74"/>
        <v>0</v>
      </c>
      <c r="P407" s="109"/>
      <c r="Q407" s="16">
        <f>SUM(Q408:Q419)</f>
        <v>0</v>
      </c>
      <c r="R407" s="16">
        <f aca="true" t="shared" si="75" ref="R407:AX407">SUM(R408:R419)</f>
        <v>0</v>
      </c>
      <c r="S407" s="16">
        <f t="shared" si="75"/>
        <v>0</v>
      </c>
      <c r="T407" s="16">
        <f t="shared" si="75"/>
        <v>0</v>
      </c>
      <c r="U407" s="16">
        <f t="shared" si="75"/>
        <v>0</v>
      </c>
      <c r="V407" s="16">
        <f t="shared" si="75"/>
        <v>0</v>
      </c>
      <c r="W407" s="16">
        <f t="shared" si="75"/>
        <v>0</v>
      </c>
      <c r="X407" s="16">
        <f t="shared" si="75"/>
        <v>0</v>
      </c>
      <c r="Y407" s="11">
        <f t="shared" si="75"/>
        <v>0</v>
      </c>
      <c r="Z407" s="11">
        <f t="shared" si="75"/>
        <v>0</v>
      </c>
      <c r="AA407" s="11">
        <f t="shared" si="75"/>
        <v>0</v>
      </c>
      <c r="AB407" s="11">
        <f t="shared" si="75"/>
        <v>0</v>
      </c>
      <c r="AC407" s="11">
        <f t="shared" si="75"/>
        <v>0</v>
      </c>
      <c r="AD407" s="11">
        <f t="shared" si="75"/>
        <v>0</v>
      </c>
      <c r="AE407" s="11">
        <f t="shared" si="75"/>
        <v>0</v>
      </c>
      <c r="AF407" s="11">
        <f t="shared" si="75"/>
        <v>0</v>
      </c>
      <c r="AG407" s="11">
        <f t="shared" si="75"/>
        <v>0</v>
      </c>
      <c r="AH407" s="11">
        <f t="shared" si="75"/>
        <v>0</v>
      </c>
      <c r="AI407" s="11">
        <f t="shared" si="75"/>
        <v>0</v>
      </c>
      <c r="AJ407" s="11">
        <f t="shared" si="75"/>
        <v>0</v>
      </c>
      <c r="AK407" s="11">
        <f t="shared" si="75"/>
        <v>0</v>
      </c>
      <c r="AL407" s="11">
        <f t="shared" si="75"/>
        <v>0</v>
      </c>
      <c r="AM407" s="11">
        <f t="shared" si="75"/>
        <v>0</v>
      </c>
      <c r="AN407" s="11">
        <f t="shared" si="75"/>
        <v>0</v>
      </c>
      <c r="AO407" s="11">
        <f t="shared" si="75"/>
        <v>0</v>
      </c>
      <c r="AP407" s="11">
        <f t="shared" si="75"/>
        <v>0</v>
      </c>
      <c r="AQ407" s="11">
        <f t="shared" si="75"/>
        <v>0</v>
      </c>
      <c r="AR407" s="11">
        <f t="shared" si="75"/>
        <v>0</v>
      </c>
      <c r="AS407" s="11">
        <f t="shared" si="75"/>
        <v>0</v>
      </c>
      <c r="AT407" s="11">
        <f t="shared" si="75"/>
        <v>0</v>
      </c>
      <c r="AU407" s="11">
        <f t="shared" si="75"/>
        <v>0</v>
      </c>
      <c r="AV407" s="11">
        <f t="shared" si="75"/>
        <v>0</v>
      </c>
      <c r="AW407" s="11">
        <f t="shared" si="75"/>
        <v>0</v>
      </c>
      <c r="AX407" s="11">
        <f t="shared" si="75"/>
        <v>0</v>
      </c>
      <c r="AY407" s="127">
        <v>0</v>
      </c>
      <c r="AZ407"/>
      <c r="BA407"/>
      <c r="BB407"/>
      <c r="BC407"/>
      <c r="BD407"/>
      <c r="BE407"/>
      <c r="BF407"/>
      <c r="BG407"/>
      <c r="BH407"/>
      <c r="BI407"/>
      <c r="BJ407"/>
      <c r="BK407"/>
      <c r="BL407"/>
    </row>
    <row r="408" spans="2:64" ht="14.25" thickBot="1" thickTop="1">
      <c r="B408" s="208">
        <v>32</v>
      </c>
      <c r="C408" s="36"/>
      <c r="D408" s="31"/>
      <c r="E408" s="124"/>
      <c r="F408" s="204"/>
      <c r="G408" s="61" t="s">
        <v>3</v>
      </c>
      <c r="H408" s="41">
        <v>0</v>
      </c>
      <c r="I408" s="85">
        <v>0</v>
      </c>
      <c r="J408" s="85"/>
      <c r="K408" s="41"/>
      <c r="L408" s="41"/>
      <c r="M408" s="41"/>
      <c r="N408" s="41">
        <f aca="true" t="shared" si="76" ref="N408:N419">I408*0.05</f>
        <v>0</v>
      </c>
      <c r="O408" s="68">
        <f t="shared" si="74"/>
        <v>0</v>
      </c>
      <c r="P408" s="106"/>
      <c r="Q408" s="39"/>
      <c r="R408" s="39"/>
      <c r="S408" s="39"/>
      <c r="T408" s="39"/>
      <c r="U408" s="39"/>
      <c r="V408" s="39"/>
      <c r="W408" s="39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132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</row>
    <row r="409" spans="2:64" ht="14.25" thickBot="1" thickTop="1">
      <c r="B409" s="208">
        <v>32</v>
      </c>
      <c r="C409" s="37"/>
      <c r="D409" s="33"/>
      <c r="E409" s="90"/>
      <c r="F409" s="86"/>
      <c r="G409" s="62" t="s">
        <v>4</v>
      </c>
      <c r="H409" s="41">
        <v>0</v>
      </c>
      <c r="I409" s="86">
        <v>0</v>
      </c>
      <c r="J409" s="86"/>
      <c r="K409" s="41"/>
      <c r="L409" s="41"/>
      <c r="M409" s="41"/>
      <c r="N409" s="41">
        <f t="shared" si="76"/>
        <v>0</v>
      </c>
      <c r="O409" s="68">
        <f t="shared" si="74"/>
        <v>0</v>
      </c>
      <c r="P409" s="100"/>
      <c r="Q409" s="48"/>
      <c r="R409" s="48"/>
      <c r="S409" s="48"/>
      <c r="T409" s="48"/>
      <c r="U409" s="48"/>
      <c r="V409" s="48"/>
      <c r="W409" s="48"/>
      <c r="X409" s="24"/>
      <c r="Y409" s="24"/>
      <c r="Z409" s="24"/>
      <c r="AA409" s="24"/>
      <c r="AB409" s="24"/>
      <c r="AC409" s="24"/>
      <c r="AD409" s="24"/>
      <c r="AE409" s="24"/>
      <c r="AF409" s="48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57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</row>
    <row r="410" spans="2:64" ht="14.25" thickBot="1" thickTop="1">
      <c r="B410" s="208">
        <v>32</v>
      </c>
      <c r="C410" s="37"/>
      <c r="D410" s="33"/>
      <c r="E410" s="88"/>
      <c r="F410" s="86"/>
      <c r="G410" s="8" t="s">
        <v>5</v>
      </c>
      <c r="H410" s="41">
        <v>0</v>
      </c>
      <c r="I410" s="86">
        <v>0</v>
      </c>
      <c r="J410" s="86"/>
      <c r="K410" s="41"/>
      <c r="L410" s="41"/>
      <c r="M410" s="41"/>
      <c r="N410" s="41">
        <f t="shared" si="76"/>
        <v>0</v>
      </c>
      <c r="O410" s="68">
        <v>0</v>
      </c>
      <c r="P410" s="101"/>
      <c r="Q410" s="48"/>
      <c r="R410" s="48"/>
      <c r="S410" s="48"/>
      <c r="T410" s="48"/>
      <c r="U410" s="48"/>
      <c r="V410" s="48"/>
      <c r="W410" s="48"/>
      <c r="X410" s="24"/>
      <c r="Y410" s="24"/>
      <c r="Z410" s="24"/>
      <c r="AA410" s="24"/>
      <c r="AB410" s="45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57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</row>
    <row r="411" spans="2:64" ht="14.25" thickBot="1" thickTop="1">
      <c r="B411" s="208">
        <v>32</v>
      </c>
      <c r="C411" s="37"/>
      <c r="D411" s="33"/>
      <c r="E411" s="88"/>
      <c r="F411" s="86"/>
      <c r="G411" s="8" t="s">
        <v>6</v>
      </c>
      <c r="H411" s="41">
        <v>0</v>
      </c>
      <c r="I411" s="86">
        <v>0</v>
      </c>
      <c r="J411" s="86"/>
      <c r="K411" s="41"/>
      <c r="L411" s="41"/>
      <c r="M411" s="41"/>
      <c r="N411" s="41">
        <f t="shared" si="76"/>
        <v>0</v>
      </c>
      <c r="O411" s="68">
        <f aca="true" t="shared" si="77" ref="O411:O419">SUM(Q411:AX411)</f>
        <v>0</v>
      </c>
      <c r="P411" s="101"/>
      <c r="Q411" s="48"/>
      <c r="R411" s="48"/>
      <c r="S411" s="48"/>
      <c r="T411" s="48"/>
      <c r="U411" s="48"/>
      <c r="V411" s="48"/>
      <c r="W411" s="48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57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</row>
    <row r="412" spans="2:64" ht="14.25" thickBot="1" thickTop="1">
      <c r="B412" s="208">
        <v>32</v>
      </c>
      <c r="C412" s="37"/>
      <c r="D412" s="33"/>
      <c r="E412" s="88"/>
      <c r="F412" s="86"/>
      <c r="G412" s="8" t="s">
        <v>7</v>
      </c>
      <c r="H412" s="41">
        <v>0</v>
      </c>
      <c r="I412" s="86">
        <v>0</v>
      </c>
      <c r="J412" s="86"/>
      <c r="K412" s="41"/>
      <c r="L412" s="41"/>
      <c r="M412" s="41"/>
      <c r="N412" s="41">
        <f t="shared" si="76"/>
        <v>0</v>
      </c>
      <c r="O412" s="68">
        <f t="shared" si="77"/>
        <v>0</v>
      </c>
      <c r="P412" s="101"/>
      <c r="Q412" s="48"/>
      <c r="R412" s="48"/>
      <c r="S412" s="48"/>
      <c r="T412" s="48"/>
      <c r="U412" s="48"/>
      <c r="V412" s="48"/>
      <c r="W412" s="48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48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57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</row>
    <row r="413" spans="2:64" ht="14.25" thickBot="1" thickTop="1">
      <c r="B413" s="208">
        <v>32</v>
      </c>
      <c r="C413" s="37"/>
      <c r="D413" s="33"/>
      <c r="E413" s="88"/>
      <c r="F413" s="86"/>
      <c r="G413" s="8" t="s">
        <v>8</v>
      </c>
      <c r="H413" s="41">
        <v>0</v>
      </c>
      <c r="I413" s="86">
        <v>0</v>
      </c>
      <c r="J413" s="86"/>
      <c r="K413" s="41"/>
      <c r="L413" s="41"/>
      <c r="M413" s="41"/>
      <c r="N413" s="41">
        <f t="shared" si="76"/>
        <v>0</v>
      </c>
      <c r="O413" s="68">
        <f t="shared" si="77"/>
        <v>0</v>
      </c>
      <c r="P413" s="101"/>
      <c r="Q413" s="48"/>
      <c r="R413" s="48"/>
      <c r="S413" s="48"/>
      <c r="T413" s="48"/>
      <c r="U413" s="48"/>
      <c r="V413" s="48"/>
      <c r="W413" s="48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57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</row>
    <row r="414" spans="2:64" ht="14.25" thickBot="1" thickTop="1">
      <c r="B414" s="208">
        <v>32</v>
      </c>
      <c r="C414" s="37"/>
      <c r="D414" s="33"/>
      <c r="E414" s="88"/>
      <c r="F414" s="86"/>
      <c r="G414" s="8" t="s">
        <v>9</v>
      </c>
      <c r="H414" s="41">
        <v>0</v>
      </c>
      <c r="I414" s="86">
        <v>0</v>
      </c>
      <c r="J414" s="86"/>
      <c r="K414" s="41"/>
      <c r="L414" s="41"/>
      <c r="M414" s="41"/>
      <c r="N414" s="41">
        <f t="shared" si="76"/>
        <v>0</v>
      </c>
      <c r="O414" s="68">
        <f t="shared" si="77"/>
        <v>0</v>
      </c>
      <c r="P414" s="101"/>
      <c r="Q414" s="48"/>
      <c r="R414" s="48"/>
      <c r="S414" s="48"/>
      <c r="T414" s="48"/>
      <c r="U414" s="48"/>
      <c r="V414" s="48"/>
      <c r="W414" s="48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57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</row>
    <row r="415" spans="2:64" ht="14.25" thickBot="1" thickTop="1">
      <c r="B415" s="208">
        <v>32</v>
      </c>
      <c r="C415" s="37"/>
      <c r="D415" s="33"/>
      <c r="E415" s="88"/>
      <c r="F415" s="86"/>
      <c r="G415" s="8" t="s">
        <v>10</v>
      </c>
      <c r="H415" s="41">
        <v>0</v>
      </c>
      <c r="I415" s="86">
        <v>0</v>
      </c>
      <c r="J415" s="86"/>
      <c r="K415" s="41"/>
      <c r="L415" s="41"/>
      <c r="M415" s="41"/>
      <c r="N415" s="41">
        <f t="shared" si="76"/>
        <v>0</v>
      </c>
      <c r="O415" s="68">
        <f t="shared" si="77"/>
        <v>0</v>
      </c>
      <c r="P415" s="103"/>
      <c r="Q415" s="48"/>
      <c r="R415" s="48"/>
      <c r="S415" s="48"/>
      <c r="T415" s="48"/>
      <c r="U415" s="48"/>
      <c r="V415" s="48"/>
      <c r="W415" s="48"/>
      <c r="X415" s="24"/>
      <c r="Y415" s="24"/>
      <c r="Z415" s="24"/>
      <c r="AA415" s="24"/>
      <c r="AB415" s="24"/>
      <c r="AC415" s="24"/>
      <c r="AD415" s="24"/>
      <c r="AE415" s="24"/>
      <c r="AF415" s="24"/>
      <c r="AG415" s="48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57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</row>
    <row r="416" spans="2:64" ht="14.25" thickBot="1" thickTop="1">
      <c r="B416" s="208">
        <v>32</v>
      </c>
      <c r="C416" s="37"/>
      <c r="D416" s="33"/>
      <c r="E416" s="88"/>
      <c r="F416" s="86"/>
      <c r="G416" s="8" t="s">
        <v>11</v>
      </c>
      <c r="H416" s="41">
        <v>0</v>
      </c>
      <c r="I416" s="86">
        <v>0</v>
      </c>
      <c r="J416" s="86"/>
      <c r="K416" s="41"/>
      <c r="L416" s="41"/>
      <c r="M416" s="41"/>
      <c r="N416" s="41">
        <f t="shared" si="76"/>
        <v>0</v>
      </c>
      <c r="O416" s="68">
        <f t="shared" si="77"/>
        <v>0</v>
      </c>
      <c r="P416" s="101"/>
      <c r="Q416" s="48"/>
      <c r="R416" s="48"/>
      <c r="S416" s="48"/>
      <c r="T416" s="48"/>
      <c r="U416" s="48"/>
      <c r="V416" s="48"/>
      <c r="W416" s="48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57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</row>
    <row r="417" spans="2:64" ht="14.25" thickBot="1" thickTop="1">
      <c r="B417" s="208">
        <v>32</v>
      </c>
      <c r="C417" s="37"/>
      <c r="D417" s="33"/>
      <c r="E417" s="88"/>
      <c r="F417" s="86"/>
      <c r="G417" s="8" t="s">
        <v>12</v>
      </c>
      <c r="H417" s="41">
        <v>0</v>
      </c>
      <c r="I417" s="86">
        <v>0</v>
      </c>
      <c r="J417" s="86"/>
      <c r="K417" s="41"/>
      <c r="L417" s="41"/>
      <c r="M417" s="41"/>
      <c r="N417" s="41">
        <f t="shared" si="76"/>
        <v>0</v>
      </c>
      <c r="O417" s="68">
        <f t="shared" si="77"/>
        <v>0</v>
      </c>
      <c r="P417" s="101"/>
      <c r="Q417" s="48"/>
      <c r="R417" s="48"/>
      <c r="S417" s="48"/>
      <c r="T417" s="48"/>
      <c r="U417" s="48"/>
      <c r="V417" s="48"/>
      <c r="W417" s="48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5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</row>
    <row r="418" spans="2:64" ht="14.25" thickBot="1" thickTop="1">
      <c r="B418" s="208">
        <v>32</v>
      </c>
      <c r="C418" s="37"/>
      <c r="D418" s="33"/>
      <c r="E418" s="88"/>
      <c r="F418" s="86"/>
      <c r="G418" s="8" t="s">
        <v>13</v>
      </c>
      <c r="H418" s="41">
        <v>0</v>
      </c>
      <c r="I418" s="86">
        <v>0</v>
      </c>
      <c r="J418" s="86"/>
      <c r="K418" s="41"/>
      <c r="L418" s="41"/>
      <c r="M418" s="41"/>
      <c r="N418" s="41">
        <f t="shared" si="76"/>
        <v>0</v>
      </c>
      <c r="O418" s="68">
        <f t="shared" si="77"/>
        <v>0</v>
      </c>
      <c r="P418" s="101"/>
      <c r="Q418" s="48"/>
      <c r="R418" s="48"/>
      <c r="S418" s="48"/>
      <c r="T418" s="48"/>
      <c r="U418" s="48"/>
      <c r="V418" s="48"/>
      <c r="W418" s="48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57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</row>
    <row r="419" spans="2:64" ht="14.25" thickBot="1" thickTop="1">
      <c r="B419" s="208">
        <v>32</v>
      </c>
      <c r="C419" s="38"/>
      <c r="D419" s="35"/>
      <c r="E419" s="125"/>
      <c r="F419" s="189"/>
      <c r="G419" s="12" t="s">
        <v>14</v>
      </c>
      <c r="H419" s="43">
        <v>995.62</v>
      </c>
      <c r="I419" s="185">
        <v>753.96</v>
      </c>
      <c r="J419" s="87"/>
      <c r="K419" s="43"/>
      <c r="L419" s="43"/>
      <c r="M419" s="43"/>
      <c r="N419" s="41">
        <f t="shared" si="76"/>
        <v>37.698</v>
      </c>
      <c r="O419" s="75">
        <f t="shared" si="77"/>
        <v>0</v>
      </c>
      <c r="P419" s="104"/>
      <c r="Q419" s="49"/>
      <c r="R419" s="49"/>
      <c r="S419" s="49"/>
      <c r="T419" s="49"/>
      <c r="U419" s="49"/>
      <c r="V419" s="49"/>
      <c r="W419" s="49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128">
        <f>AY407+I407+J407-K407-L407-M407-N407-O407</f>
        <v>716.2620000000001</v>
      </c>
      <c r="AZ419"/>
      <c r="BA419"/>
      <c r="BB419"/>
      <c r="BC419"/>
      <c r="BD419"/>
      <c r="BE419"/>
      <c r="BF419"/>
      <c r="BG419"/>
      <c r="BH419"/>
      <c r="BI419"/>
      <c r="BJ419"/>
      <c r="BK419"/>
      <c r="BL419"/>
    </row>
    <row r="420" spans="2:64" ht="14.25" thickBot="1" thickTop="1">
      <c r="B420" s="155">
        <v>33</v>
      </c>
      <c r="C420" s="73" t="s">
        <v>143</v>
      </c>
      <c r="D420" s="67">
        <v>57</v>
      </c>
      <c r="E420" s="125"/>
      <c r="F420" s="207"/>
      <c r="G420" s="50"/>
      <c r="H420" s="69">
        <v>995.18</v>
      </c>
      <c r="I420" s="69">
        <v>277.39</v>
      </c>
      <c r="J420" s="69">
        <f>SUM(J421:J432)</f>
        <v>0</v>
      </c>
      <c r="K420" s="69">
        <f>SUM(K421:K432)</f>
        <v>0</v>
      </c>
      <c r="L420" s="69">
        <f>SUM(L421:L432)</f>
        <v>0</v>
      </c>
      <c r="M420" s="69">
        <f>SUM(M421:M432)</f>
        <v>0</v>
      </c>
      <c r="N420" s="69">
        <f>SUM(N421:N432)</f>
        <v>13.8695</v>
      </c>
      <c r="O420" s="16">
        <f>SUM(Q420:AX420)</f>
        <v>0</v>
      </c>
      <c r="P420" s="109"/>
      <c r="Q420" s="16">
        <f>SUM(Q421:Q432)</f>
        <v>0</v>
      </c>
      <c r="R420" s="16">
        <f aca="true" t="shared" si="78" ref="R420:AX420">SUM(R421:R432)</f>
        <v>0</v>
      </c>
      <c r="S420" s="16">
        <f t="shared" si="78"/>
        <v>0</v>
      </c>
      <c r="T420" s="16">
        <f t="shared" si="78"/>
        <v>0</v>
      </c>
      <c r="U420" s="16">
        <f t="shared" si="78"/>
        <v>0</v>
      </c>
      <c r="V420" s="16">
        <f t="shared" si="78"/>
        <v>0</v>
      </c>
      <c r="W420" s="16">
        <f t="shared" si="78"/>
        <v>0</v>
      </c>
      <c r="X420" s="16">
        <f t="shared" si="78"/>
        <v>0</v>
      </c>
      <c r="Y420" s="11">
        <f t="shared" si="78"/>
        <v>0</v>
      </c>
      <c r="Z420" s="11">
        <f t="shared" si="78"/>
        <v>0</v>
      </c>
      <c r="AA420" s="11">
        <f t="shared" si="78"/>
        <v>0</v>
      </c>
      <c r="AB420" s="11">
        <f t="shared" si="78"/>
        <v>0</v>
      </c>
      <c r="AC420" s="11">
        <f t="shared" si="78"/>
        <v>0</v>
      </c>
      <c r="AD420" s="11">
        <f t="shared" si="78"/>
        <v>0</v>
      </c>
      <c r="AE420" s="11">
        <f t="shared" si="78"/>
        <v>0</v>
      </c>
      <c r="AF420" s="11">
        <f t="shared" si="78"/>
        <v>0</v>
      </c>
      <c r="AG420" s="11">
        <f t="shared" si="78"/>
        <v>0</v>
      </c>
      <c r="AH420" s="11">
        <f t="shared" si="78"/>
        <v>0</v>
      </c>
      <c r="AI420" s="11">
        <f t="shared" si="78"/>
        <v>0</v>
      </c>
      <c r="AJ420" s="11">
        <f t="shared" si="78"/>
        <v>0</v>
      </c>
      <c r="AK420" s="11">
        <f t="shared" si="78"/>
        <v>0</v>
      </c>
      <c r="AL420" s="11">
        <f t="shared" si="78"/>
        <v>0</v>
      </c>
      <c r="AM420" s="11">
        <f t="shared" si="78"/>
        <v>0</v>
      </c>
      <c r="AN420" s="11">
        <f t="shared" si="78"/>
        <v>0</v>
      </c>
      <c r="AO420" s="11">
        <f t="shared" si="78"/>
        <v>0</v>
      </c>
      <c r="AP420" s="11">
        <f t="shared" si="78"/>
        <v>0</v>
      </c>
      <c r="AQ420" s="11">
        <f t="shared" si="78"/>
        <v>0</v>
      </c>
      <c r="AR420" s="11">
        <f t="shared" si="78"/>
        <v>0</v>
      </c>
      <c r="AS420" s="11">
        <f t="shared" si="78"/>
        <v>0</v>
      </c>
      <c r="AT420" s="11">
        <f t="shared" si="78"/>
        <v>0</v>
      </c>
      <c r="AU420" s="11">
        <f t="shared" si="78"/>
        <v>0</v>
      </c>
      <c r="AV420" s="11">
        <f t="shared" si="78"/>
        <v>0</v>
      </c>
      <c r="AW420" s="11">
        <f t="shared" si="78"/>
        <v>0</v>
      </c>
      <c r="AX420" s="11">
        <f t="shared" si="78"/>
        <v>0</v>
      </c>
      <c r="AY420" s="127">
        <v>0</v>
      </c>
      <c r="AZ420"/>
      <c r="BA420"/>
      <c r="BB420"/>
      <c r="BC420"/>
      <c r="BD420"/>
      <c r="BE420"/>
      <c r="BF420"/>
      <c r="BG420"/>
      <c r="BH420"/>
      <c r="BI420"/>
      <c r="BJ420"/>
      <c r="BK420"/>
      <c r="BL420"/>
    </row>
    <row r="421" spans="2:64" ht="14.25" thickBot="1" thickTop="1">
      <c r="B421" s="208">
        <v>33</v>
      </c>
      <c r="C421" s="36"/>
      <c r="D421" s="31"/>
      <c r="E421" s="124"/>
      <c r="F421" s="204"/>
      <c r="G421" s="61" t="s">
        <v>3</v>
      </c>
      <c r="H421" s="41"/>
      <c r="I421" s="85"/>
      <c r="J421" s="85"/>
      <c r="K421" s="41"/>
      <c r="L421" s="41"/>
      <c r="M421" s="41"/>
      <c r="N421" s="41">
        <f aca="true" t="shared" si="79" ref="N421:N432">I421*0.05</f>
        <v>0</v>
      </c>
      <c r="O421" s="68">
        <f>SUM(Q421:AX421)</f>
        <v>0</v>
      </c>
      <c r="P421" s="106"/>
      <c r="Q421" s="39"/>
      <c r="R421" s="39"/>
      <c r="S421" s="39"/>
      <c r="T421" s="39"/>
      <c r="U421" s="39"/>
      <c r="V421" s="39"/>
      <c r="W421" s="39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132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</row>
    <row r="422" spans="2:64" ht="14.25" thickBot="1" thickTop="1">
      <c r="B422" s="208">
        <v>33</v>
      </c>
      <c r="C422" s="37"/>
      <c r="D422" s="33"/>
      <c r="E422" s="90"/>
      <c r="F422" s="86"/>
      <c r="G422" s="62" t="s">
        <v>4</v>
      </c>
      <c r="H422" s="41"/>
      <c r="I422" s="86"/>
      <c r="J422" s="86"/>
      <c r="K422" s="41"/>
      <c r="L422" s="41"/>
      <c r="M422" s="41"/>
      <c r="N422" s="41">
        <f t="shared" si="79"/>
        <v>0</v>
      </c>
      <c r="O422" s="68">
        <f>SUM(Q422:AX422)</f>
        <v>0</v>
      </c>
      <c r="P422" s="100"/>
      <c r="Q422" s="48"/>
      <c r="R422" s="48"/>
      <c r="S422" s="48"/>
      <c r="T422" s="48"/>
      <c r="U422" s="48"/>
      <c r="V422" s="48"/>
      <c r="W422" s="48"/>
      <c r="X422" s="24"/>
      <c r="Y422" s="24"/>
      <c r="Z422" s="24"/>
      <c r="AA422" s="24"/>
      <c r="AB422" s="24"/>
      <c r="AC422" s="24"/>
      <c r="AD422" s="24"/>
      <c r="AE422" s="24"/>
      <c r="AF422" s="48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57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</row>
    <row r="423" spans="2:64" ht="14.25" thickBot="1" thickTop="1">
      <c r="B423" s="208">
        <v>33</v>
      </c>
      <c r="C423" s="37"/>
      <c r="D423" s="33"/>
      <c r="E423" s="88"/>
      <c r="F423" s="86"/>
      <c r="G423" s="8" t="s">
        <v>5</v>
      </c>
      <c r="H423" s="41"/>
      <c r="I423" s="86"/>
      <c r="J423" s="86"/>
      <c r="K423" s="41"/>
      <c r="L423" s="41"/>
      <c r="M423" s="41"/>
      <c r="N423" s="41">
        <f t="shared" si="79"/>
        <v>0</v>
      </c>
      <c r="O423" s="68">
        <v>0</v>
      </c>
      <c r="P423" s="101"/>
      <c r="Q423" s="48"/>
      <c r="R423" s="48"/>
      <c r="S423" s="48"/>
      <c r="T423" s="48"/>
      <c r="U423" s="48"/>
      <c r="V423" s="48"/>
      <c r="W423" s="48"/>
      <c r="X423" s="24"/>
      <c r="Y423" s="24"/>
      <c r="Z423" s="24"/>
      <c r="AA423" s="24"/>
      <c r="AB423" s="45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57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</row>
    <row r="424" spans="2:64" ht="14.25" thickBot="1" thickTop="1">
      <c r="B424" s="208">
        <v>33</v>
      </c>
      <c r="C424" s="37"/>
      <c r="D424" s="33"/>
      <c r="E424" s="88"/>
      <c r="F424" s="86"/>
      <c r="G424" s="8" t="s">
        <v>6</v>
      </c>
      <c r="H424" s="41"/>
      <c r="I424" s="86"/>
      <c r="J424" s="86"/>
      <c r="K424" s="41"/>
      <c r="L424" s="41"/>
      <c r="M424" s="41"/>
      <c r="N424" s="41">
        <f t="shared" si="79"/>
        <v>0</v>
      </c>
      <c r="O424" s="68">
        <f aca="true" t="shared" si="80" ref="O424:O432">SUM(Q424:AX424)</f>
        <v>0</v>
      </c>
      <c r="P424" s="101"/>
      <c r="Q424" s="48"/>
      <c r="R424" s="48"/>
      <c r="S424" s="48"/>
      <c r="T424" s="48"/>
      <c r="U424" s="48"/>
      <c r="V424" s="48"/>
      <c r="W424" s="48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57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</row>
    <row r="425" spans="2:64" ht="14.25" thickBot="1" thickTop="1">
      <c r="B425" s="208">
        <v>33</v>
      </c>
      <c r="C425" s="37"/>
      <c r="D425" s="33"/>
      <c r="E425" s="88"/>
      <c r="F425" s="86"/>
      <c r="G425" s="8" t="s">
        <v>7</v>
      </c>
      <c r="H425" s="41"/>
      <c r="I425" s="86"/>
      <c r="J425" s="86"/>
      <c r="K425" s="41"/>
      <c r="L425" s="41"/>
      <c r="M425" s="41"/>
      <c r="N425" s="41">
        <f t="shared" si="79"/>
        <v>0</v>
      </c>
      <c r="O425" s="68">
        <f t="shared" si="80"/>
        <v>0</v>
      </c>
      <c r="P425" s="101"/>
      <c r="Q425" s="48"/>
      <c r="R425" s="48"/>
      <c r="S425" s="48"/>
      <c r="T425" s="48"/>
      <c r="U425" s="48"/>
      <c r="V425" s="48"/>
      <c r="W425" s="48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48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57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</row>
    <row r="426" spans="2:64" ht="14.25" thickBot="1" thickTop="1">
      <c r="B426" s="208">
        <v>33</v>
      </c>
      <c r="C426" s="37"/>
      <c r="D426" s="33"/>
      <c r="E426" s="88"/>
      <c r="F426" s="86"/>
      <c r="G426" s="8" t="s">
        <v>8</v>
      </c>
      <c r="H426" s="41"/>
      <c r="I426" s="86"/>
      <c r="J426" s="86"/>
      <c r="K426" s="41"/>
      <c r="L426" s="41"/>
      <c r="M426" s="41"/>
      <c r="N426" s="41">
        <f t="shared" si="79"/>
        <v>0</v>
      </c>
      <c r="O426" s="68">
        <f t="shared" si="80"/>
        <v>0</v>
      </c>
      <c r="P426" s="101"/>
      <c r="Q426" s="48"/>
      <c r="R426" s="48"/>
      <c r="S426" s="48"/>
      <c r="T426" s="48"/>
      <c r="U426" s="48"/>
      <c r="V426" s="48"/>
      <c r="W426" s="48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57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</row>
    <row r="427" spans="2:64" ht="14.25" thickBot="1" thickTop="1">
      <c r="B427" s="208">
        <v>33</v>
      </c>
      <c r="C427" s="37"/>
      <c r="D427" s="33"/>
      <c r="E427" s="88"/>
      <c r="F427" s="86"/>
      <c r="G427" s="8" t="s">
        <v>9</v>
      </c>
      <c r="H427" s="41"/>
      <c r="I427" s="86"/>
      <c r="J427" s="86"/>
      <c r="K427" s="41"/>
      <c r="L427" s="41"/>
      <c r="M427" s="41"/>
      <c r="N427" s="41">
        <f t="shared" si="79"/>
        <v>0</v>
      </c>
      <c r="O427" s="68">
        <f t="shared" si="80"/>
        <v>0</v>
      </c>
      <c r="P427" s="101"/>
      <c r="Q427" s="48"/>
      <c r="R427" s="48"/>
      <c r="S427" s="48"/>
      <c r="T427" s="48"/>
      <c r="U427" s="48"/>
      <c r="V427" s="48"/>
      <c r="W427" s="48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5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</row>
    <row r="428" spans="2:64" ht="14.25" thickBot="1" thickTop="1">
      <c r="B428" s="208">
        <v>33</v>
      </c>
      <c r="C428" s="37"/>
      <c r="D428" s="33"/>
      <c r="E428" s="88"/>
      <c r="F428" s="86"/>
      <c r="G428" s="8" t="s">
        <v>10</v>
      </c>
      <c r="H428" s="41"/>
      <c r="I428" s="86"/>
      <c r="J428" s="86"/>
      <c r="K428" s="41"/>
      <c r="L428" s="41"/>
      <c r="M428" s="41"/>
      <c r="N428" s="41">
        <f t="shared" si="79"/>
        <v>0</v>
      </c>
      <c r="O428" s="68">
        <f t="shared" si="80"/>
        <v>0</v>
      </c>
      <c r="P428" s="103"/>
      <c r="Q428" s="48"/>
      <c r="R428" s="48"/>
      <c r="S428" s="48"/>
      <c r="T428" s="48"/>
      <c r="U428" s="48"/>
      <c r="V428" s="48"/>
      <c r="W428" s="48"/>
      <c r="X428" s="24"/>
      <c r="Y428" s="24"/>
      <c r="Z428" s="24"/>
      <c r="AA428" s="24"/>
      <c r="AB428" s="24"/>
      <c r="AC428" s="24"/>
      <c r="AD428" s="24"/>
      <c r="AE428" s="24"/>
      <c r="AF428" s="24"/>
      <c r="AG428" s="48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57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</row>
    <row r="429" spans="2:64" ht="14.25" thickBot="1" thickTop="1">
      <c r="B429" s="208">
        <v>33</v>
      </c>
      <c r="C429" s="37"/>
      <c r="D429" s="33"/>
      <c r="E429" s="88"/>
      <c r="F429" s="86"/>
      <c r="G429" s="8" t="s">
        <v>11</v>
      </c>
      <c r="H429" s="41"/>
      <c r="I429" s="86"/>
      <c r="J429" s="86"/>
      <c r="K429" s="41"/>
      <c r="L429" s="41"/>
      <c r="M429" s="41"/>
      <c r="N429" s="41">
        <f t="shared" si="79"/>
        <v>0</v>
      </c>
      <c r="O429" s="68">
        <f t="shared" si="80"/>
        <v>0</v>
      </c>
      <c r="P429" s="101"/>
      <c r="Q429" s="48"/>
      <c r="R429" s="48"/>
      <c r="S429" s="48"/>
      <c r="T429" s="48"/>
      <c r="U429" s="48"/>
      <c r="V429" s="48"/>
      <c r="W429" s="48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57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</row>
    <row r="430" spans="2:64" ht="14.25" thickBot="1" thickTop="1">
      <c r="B430" s="208">
        <v>33</v>
      </c>
      <c r="C430" s="37"/>
      <c r="D430" s="33"/>
      <c r="E430" s="88"/>
      <c r="F430" s="86"/>
      <c r="G430" s="8" t="s">
        <v>12</v>
      </c>
      <c r="H430" s="41"/>
      <c r="I430" s="86"/>
      <c r="J430" s="86"/>
      <c r="K430" s="41"/>
      <c r="L430" s="41"/>
      <c r="M430" s="41"/>
      <c r="N430" s="41">
        <f t="shared" si="79"/>
        <v>0</v>
      </c>
      <c r="O430" s="68">
        <f t="shared" si="80"/>
        <v>0</v>
      </c>
      <c r="P430" s="101"/>
      <c r="Q430" s="48"/>
      <c r="R430" s="48"/>
      <c r="S430" s="48"/>
      <c r="T430" s="48"/>
      <c r="U430" s="48"/>
      <c r="V430" s="48"/>
      <c r="W430" s="48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57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</row>
    <row r="431" spans="2:64" ht="14.25" thickBot="1" thickTop="1">
      <c r="B431" s="208">
        <v>33</v>
      </c>
      <c r="C431" s="37"/>
      <c r="D431" s="33"/>
      <c r="E431" s="88"/>
      <c r="F431" s="86"/>
      <c r="G431" s="8" t="s">
        <v>13</v>
      </c>
      <c r="H431" s="41"/>
      <c r="I431" s="86"/>
      <c r="J431" s="86"/>
      <c r="K431" s="41"/>
      <c r="L431" s="41"/>
      <c r="M431" s="41"/>
      <c r="N431" s="41">
        <f t="shared" si="79"/>
        <v>0</v>
      </c>
      <c r="O431" s="68">
        <f t="shared" si="80"/>
        <v>0</v>
      </c>
      <c r="P431" s="101"/>
      <c r="Q431" s="48"/>
      <c r="R431" s="48"/>
      <c r="S431" s="48"/>
      <c r="T431" s="48"/>
      <c r="U431" s="48"/>
      <c r="V431" s="48"/>
      <c r="W431" s="48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57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</row>
    <row r="432" spans="2:64" ht="14.25" thickBot="1" thickTop="1">
      <c r="B432" s="208">
        <v>33</v>
      </c>
      <c r="C432" s="38"/>
      <c r="D432" s="35"/>
      <c r="E432" s="125"/>
      <c r="F432" s="189"/>
      <c r="G432" s="12" t="s">
        <v>14</v>
      </c>
      <c r="H432" s="43">
        <v>995.18</v>
      </c>
      <c r="I432" s="185">
        <v>277.39</v>
      </c>
      <c r="J432" s="87"/>
      <c r="K432" s="43"/>
      <c r="L432" s="43"/>
      <c r="M432" s="43"/>
      <c r="N432" s="41">
        <f t="shared" si="79"/>
        <v>13.8695</v>
      </c>
      <c r="O432" s="75">
        <f t="shared" si="80"/>
        <v>0</v>
      </c>
      <c r="P432" s="104"/>
      <c r="Q432" s="49"/>
      <c r="R432" s="49"/>
      <c r="S432" s="49"/>
      <c r="T432" s="49"/>
      <c r="U432" s="49"/>
      <c r="V432" s="49"/>
      <c r="W432" s="49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128">
        <f>AY420+I420+J420-K420-L420-M420-N420-O420</f>
        <v>263.52049999999997</v>
      </c>
      <c r="AZ432"/>
      <c r="BA432"/>
      <c r="BB432"/>
      <c r="BC432"/>
      <c r="BD432"/>
      <c r="BE432"/>
      <c r="BF432"/>
      <c r="BG432"/>
      <c r="BH432"/>
      <c r="BI432"/>
      <c r="BJ432"/>
      <c r="BK432"/>
      <c r="BL432"/>
    </row>
    <row r="433" spans="2:64" ht="14.25" thickBot="1" thickTop="1">
      <c r="B433" s="155">
        <v>33</v>
      </c>
      <c r="C433" s="73" t="s">
        <v>143</v>
      </c>
      <c r="D433" s="67">
        <v>59</v>
      </c>
      <c r="E433" s="125"/>
      <c r="F433" s="207"/>
      <c r="G433" s="50"/>
      <c r="H433" s="69">
        <v>963.68</v>
      </c>
      <c r="I433" s="69">
        <v>262.14</v>
      </c>
      <c r="J433" s="69">
        <f>SUM(J434:J445)</f>
        <v>0</v>
      </c>
      <c r="K433" s="69">
        <f>SUM(K434:K445)</f>
        <v>0</v>
      </c>
      <c r="L433" s="69">
        <f>SUM(L434:L445)</f>
        <v>0</v>
      </c>
      <c r="M433" s="69">
        <f>SUM(M434:M445)</f>
        <v>0</v>
      </c>
      <c r="N433" s="69">
        <f>SUM(N434:N445)</f>
        <v>13.107</v>
      </c>
      <c r="O433" s="16">
        <f>SUM(Q433:AX433)</f>
        <v>0</v>
      </c>
      <c r="P433" s="109"/>
      <c r="Q433" s="16">
        <f>SUM(Q434:Q445)</f>
        <v>0</v>
      </c>
      <c r="R433" s="16">
        <f aca="true" t="shared" si="81" ref="R433:AX433">SUM(R434:R445)</f>
        <v>0</v>
      </c>
      <c r="S433" s="16">
        <f t="shared" si="81"/>
        <v>0</v>
      </c>
      <c r="T433" s="16">
        <f t="shared" si="81"/>
        <v>0</v>
      </c>
      <c r="U433" s="16">
        <f t="shared" si="81"/>
        <v>0</v>
      </c>
      <c r="V433" s="16">
        <f t="shared" si="81"/>
        <v>0</v>
      </c>
      <c r="W433" s="16">
        <f t="shared" si="81"/>
        <v>0</v>
      </c>
      <c r="X433" s="16">
        <f t="shared" si="81"/>
        <v>0</v>
      </c>
      <c r="Y433" s="11">
        <f t="shared" si="81"/>
        <v>0</v>
      </c>
      <c r="Z433" s="11">
        <f t="shared" si="81"/>
        <v>0</v>
      </c>
      <c r="AA433" s="11">
        <f t="shared" si="81"/>
        <v>0</v>
      </c>
      <c r="AB433" s="11">
        <f t="shared" si="81"/>
        <v>0</v>
      </c>
      <c r="AC433" s="11">
        <f t="shared" si="81"/>
        <v>0</v>
      </c>
      <c r="AD433" s="11">
        <f t="shared" si="81"/>
        <v>0</v>
      </c>
      <c r="AE433" s="11">
        <f t="shared" si="81"/>
        <v>0</v>
      </c>
      <c r="AF433" s="11">
        <f t="shared" si="81"/>
        <v>0</v>
      </c>
      <c r="AG433" s="11">
        <f t="shared" si="81"/>
        <v>0</v>
      </c>
      <c r="AH433" s="11">
        <f t="shared" si="81"/>
        <v>0</v>
      </c>
      <c r="AI433" s="11">
        <f t="shared" si="81"/>
        <v>0</v>
      </c>
      <c r="AJ433" s="11">
        <f t="shared" si="81"/>
        <v>0</v>
      </c>
      <c r="AK433" s="11">
        <f t="shared" si="81"/>
        <v>0</v>
      </c>
      <c r="AL433" s="11">
        <f t="shared" si="81"/>
        <v>0</v>
      </c>
      <c r="AM433" s="11">
        <f t="shared" si="81"/>
        <v>0</v>
      </c>
      <c r="AN433" s="11">
        <f t="shared" si="81"/>
        <v>0</v>
      </c>
      <c r="AO433" s="11">
        <f t="shared" si="81"/>
        <v>0</v>
      </c>
      <c r="AP433" s="11">
        <f t="shared" si="81"/>
        <v>0</v>
      </c>
      <c r="AQ433" s="11">
        <f t="shared" si="81"/>
        <v>0</v>
      </c>
      <c r="AR433" s="11">
        <f t="shared" si="81"/>
        <v>0</v>
      </c>
      <c r="AS433" s="11">
        <f t="shared" si="81"/>
        <v>0</v>
      </c>
      <c r="AT433" s="11">
        <f t="shared" si="81"/>
        <v>0</v>
      </c>
      <c r="AU433" s="11">
        <f t="shared" si="81"/>
        <v>0</v>
      </c>
      <c r="AV433" s="11">
        <f t="shared" si="81"/>
        <v>0</v>
      </c>
      <c r="AW433" s="11">
        <f t="shared" si="81"/>
        <v>0</v>
      </c>
      <c r="AX433" s="11">
        <f t="shared" si="81"/>
        <v>0</v>
      </c>
      <c r="AY433" s="127">
        <v>0</v>
      </c>
      <c r="AZ433"/>
      <c r="BA433"/>
      <c r="BB433"/>
      <c r="BC433"/>
      <c r="BD433"/>
      <c r="BE433"/>
      <c r="BF433"/>
      <c r="BG433"/>
      <c r="BH433"/>
      <c r="BI433"/>
      <c r="BJ433"/>
      <c r="BK433"/>
      <c r="BL433"/>
    </row>
    <row r="434" spans="2:64" ht="14.25" thickBot="1" thickTop="1">
      <c r="B434" s="208">
        <v>33</v>
      </c>
      <c r="C434" s="36"/>
      <c r="D434" s="31"/>
      <c r="E434" s="124"/>
      <c r="F434" s="204"/>
      <c r="G434" s="61" t="s">
        <v>3</v>
      </c>
      <c r="H434" s="41"/>
      <c r="I434" s="85"/>
      <c r="J434" s="85"/>
      <c r="K434" s="41"/>
      <c r="L434" s="41"/>
      <c r="M434" s="41"/>
      <c r="N434" s="41">
        <f aca="true" t="shared" si="82" ref="N434:N445">I434*0.05</f>
        <v>0</v>
      </c>
      <c r="O434" s="68">
        <f>SUM(Q434:AX434)</f>
        <v>0</v>
      </c>
      <c r="P434" s="106"/>
      <c r="Q434" s="39"/>
      <c r="R434" s="39"/>
      <c r="S434" s="39"/>
      <c r="T434" s="39"/>
      <c r="U434" s="39"/>
      <c r="V434" s="39"/>
      <c r="W434" s="39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132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</row>
    <row r="435" spans="2:64" ht="14.25" thickBot="1" thickTop="1">
      <c r="B435" s="208">
        <v>33</v>
      </c>
      <c r="C435" s="37"/>
      <c r="D435" s="33"/>
      <c r="E435" s="90"/>
      <c r="F435" s="86"/>
      <c r="G435" s="62" t="s">
        <v>4</v>
      </c>
      <c r="H435" s="41"/>
      <c r="I435" s="86"/>
      <c r="J435" s="86"/>
      <c r="K435" s="41"/>
      <c r="L435" s="41"/>
      <c r="M435" s="41"/>
      <c r="N435" s="41">
        <f t="shared" si="82"/>
        <v>0</v>
      </c>
      <c r="O435" s="68">
        <f>SUM(Q435:AX435)</f>
        <v>0</v>
      </c>
      <c r="P435" s="100"/>
      <c r="Q435" s="48"/>
      <c r="R435" s="48"/>
      <c r="S435" s="48"/>
      <c r="T435" s="48"/>
      <c r="U435" s="48"/>
      <c r="V435" s="48"/>
      <c r="W435" s="48"/>
      <c r="X435" s="24"/>
      <c r="Y435" s="24"/>
      <c r="Z435" s="24"/>
      <c r="AA435" s="24"/>
      <c r="AB435" s="24"/>
      <c r="AC435" s="24"/>
      <c r="AD435" s="24"/>
      <c r="AE435" s="24"/>
      <c r="AF435" s="48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57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</row>
    <row r="436" spans="2:64" ht="14.25" thickBot="1" thickTop="1">
      <c r="B436" s="208">
        <v>33</v>
      </c>
      <c r="C436" s="37"/>
      <c r="D436" s="33"/>
      <c r="E436" s="88"/>
      <c r="F436" s="86"/>
      <c r="G436" s="8" t="s">
        <v>5</v>
      </c>
      <c r="H436" s="41"/>
      <c r="I436" s="86"/>
      <c r="J436" s="86"/>
      <c r="K436" s="41"/>
      <c r="L436" s="41"/>
      <c r="M436" s="41"/>
      <c r="N436" s="41">
        <f t="shared" si="82"/>
        <v>0</v>
      </c>
      <c r="O436" s="68">
        <v>0</v>
      </c>
      <c r="P436" s="101"/>
      <c r="Q436" s="48"/>
      <c r="R436" s="48"/>
      <c r="S436" s="48"/>
      <c r="T436" s="48"/>
      <c r="U436" s="48"/>
      <c r="V436" s="48"/>
      <c r="W436" s="48"/>
      <c r="X436" s="24"/>
      <c r="Y436" s="24"/>
      <c r="Z436" s="24"/>
      <c r="AA436" s="24"/>
      <c r="AB436" s="45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57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</row>
    <row r="437" spans="2:64" ht="14.25" thickBot="1" thickTop="1">
      <c r="B437" s="208">
        <v>33</v>
      </c>
      <c r="C437" s="37"/>
      <c r="D437" s="33"/>
      <c r="E437" s="88"/>
      <c r="F437" s="86"/>
      <c r="G437" s="8" t="s">
        <v>6</v>
      </c>
      <c r="H437" s="41"/>
      <c r="I437" s="86"/>
      <c r="J437" s="86"/>
      <c r="K437" s="41"/>
      <c r="L437" s="41"/>
      <c r="M437" s="41"/>
      <c r="N437" s="41">
        <f t="shared" si="82"/>
        <v>0</v>
      </c>
      <c r="O437" s="68">
        <f aca="true" t="shared" si="83" ref="O437:O445">SUM(Q437:AX437)</f>
        <v>0</v>
      </c>
      <c r="P437" s="101"/>
      <c r="Q437" s="48"/>
      <c r="R437" s="48"/>
      <c r="S437" s="48"/>
      <c r="T437" s="48"/>
      <c r="U437" s="48"/>
      <c r="V437" s="48"/>
      <c r="W437" s="48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5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</row>
    <row r="438" spans="2:64" ht="14.25" thickBot="1" thickTop="1">
      <c r="B438" s="208">
        <v>33</v>
      </c>
      <c r="C438" s="37"/>
      <c r="D438" s="33"/>
      <c r="E438" s="88"/>
      <c r="F438" s="86"/>
      <c r="G438" s="8" t="s">
        <v>7</v>
      </c>
      <c r="H438" s="41"/>
      <c r="I438" s="86"/>
      <c r="J438" s="86"/>
      <c r="K438" s="41"/>
      <c r="L438" s="41"/>
      <c r="M438" s="41"/>
      <c r="N438" s="41">
        <f t="shared" si="82"/>
        <v>0</v>
      </c>
      <c r="O438" s="68">
        <f t="shared" si="83"/>
        <v>0</v>
      </c>
      <c r="P438" s="101"/>
      <c r="Q438" s="48"/>
      <c r="R438" s="48"/>
      <c r="S438" s="48"/>
      <c r="T438" s="48"/>
      <c r="U438" s="48"/>
      <c r="V438" s="48"/>
      <c r="W438" s="48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48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57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</row>
    <row r="439" spans="2:64" ht="14.25" thickBot="1" thickTop="1">
      <c r="B439" s="208">
        <v>33</v>
      </c>
      <c r="C439" s="37"/>
      <c r="D439" s="33"/>
      <c r="E439" s="88"/>
      <c r="F439" s="86"/>
      <c r="G439" s="8" t="s">
        <v>8</v>
      </c>
      <c r="H439" s="41"/>
      <c r="I439" s="86"/>
      <c r="J439" s="86"/>
      <c r="K439" s="41"/>
      <c r="L439" s="41"/>
      <c r="M439" s="41"/>
      <c r="N439" s="41">
        <f t="shared" si="82"/>
        <v>0</v>
      </c>
      <c r="O439" s="68">
        <f t="shared" si="83"/>
        <v>0</v>
      </c>
      <c r="P439" s="101"/>
      <c r="Q439" s="48"/>
      <c r="R439" s="48"/>
      <c r="S439" s="48"/>
      <c r="T439" s="48"/>
      <c r="U439" s="48"/>
      <c r="V439" s="48"/>
      <c r="W439" s="48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57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</row>
    <row r="440" spans="2:64" ht="14.25" thickBot="1" thickTop="1">
      <c r="B440" s="208">
        <v>33</v>
      </c>
      <c r="C440" s="37"/>
      <c r="D440" s="33"/>
      <c r="E440" s="88"/>
      <c r="F440" s="86"/>
      <c r="G440" s="8" t="s">
        <v>9</v>
      </c>
      <c r="H440" s="41"/>
      <c r="I440" s="86"/>
      <c r="J440" s="86"/>
      <c r="K440" s="41"/>
      <c r="L440" s="41"/>
      <c r="M440" s="41"/>
      <c r="N440" s="41">
        <f t="shared" si="82"/>
        <v>0</v>
      </c>
      <c r="O440" s="68">
        <f t="shared" si="83"/>
        <v>0</v>
      </c>
      <c r="P440" s="101"/>
      <c r="Q440" s="48"/>
      <c r="R440" s="48"/>
      <c r="S440" s="48"/>
      <c r="T440" s="48"/>
      <c r="U440" s="48"/>
      <c r="V440" s="48"/>
      <c r="W440" s="48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57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</row>
    <row r="441" spans="2:64" ht="14.25" thickBot="1" thickTop="1">
      <c r="B441" s="208">
        <v>33</v>
      </c>
      <c r="C441" s="37"/>
      <c r="D441" s="33"/>
      <c r="E441" s="88"/>
      <c r="F441" s="86"/>
      <c r="G441" s="8" t="s">
        <v>10</v>
      </c>
      <c r="H441" s="41"/>
      <c r="I441" s="86"/>
      <c r="J441" s="86"/>
      <c r="K441" s="41"/>
      <c r="L441" s="41"/>
      <c r="M441" s="41"/>
      <c r="N441" s="41">
        <f t="shared" si="82"/>
        <v>0</v>
      </c>
      <c r="O441" s="68">
        <f t="shared" si="83"/>
        <v>0</v>
      </c>
      <c r="P441" s="103"/>
      <c r="Q441" s="48"/>
      <c r="R441" s="48"/>
      <c r="S441" s="48"/>
      <c r="T441" s="48"/>
      <c r="U441" s="48"/>
      <c r="V441" s="48"/>
      <c r="W441" s="48"/>
      <c r="X441" s="24"/>
      <c r="Y441" s="24"/>
      <c r="Z441" s="24"/>
      <c r="AA441" s="24"/>
      <c r="AB441" s="24"/>
      <c r="AC441" s="24"/>
      <c r="AD441" s="24"/>
      <c r="AE441" s="24"/>
      <c r="AF441" s="24"/>
      <c r="AG441" s="48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57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</row>
    <row r="442" spans="2:64" ht="14.25" thickBot="1" thickTop="1">
      <c r="B442" s="208">
        <v>33</v>
      </c>
      <c r="C442" s="37"/>
      <c r="D442" s="33"/>
      <c r="E442" s="88"/>
      <c r="F442" s="86"/>
      <c r="G442" s="8" t="s">
        <v>11</v>
      </c>
      <c r="H442" s="41"/>
      <c r="I442" s="86"/>
      <c r="J442" s="86"/>
      <c r="K442" s="41"/>
      <c r="L442" s="41"/>
      <c r="M442" s="41"/>
      <c r="N442" s="41">
        <f t="shared" si="82"/>
        <v>0</v>
      </c>
      <c r="O442" s="68">
        <f t="shared" si="83"/>
        <v>0</v>
      </c>
      <c r="P442" s="101"/>
      <c r="Q442" s="48"/>
      <c r="R442" s="48"/>
      <c r="S442" s="48"/>
      <c r="T442" s="48"/>
      <c r="U442" s="48"/>
      <c r="V442" s="48"/>
      <c r="W442" s="48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57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</row>
    <row r="443" spans="2:64" ht="14.25" thickBot="1" thickTop="1">
      <c r="B443" s="208">
        <v>33</v>
      </c>
      <c r="C443" s="37"/>
      <c r="D443" s="33"/>
      <c r="E443" s="88"/>
      <c r="F443" s="86"/>
      <c r="G443" s="8" t="s">
        <v>12</v>
      </c>
      <c r="H443" s="41"/>
      <c r="I443" s="86"/>
      <c r="J443" s="86"/>
      <c r="K443" s="41"/>
      <c r="L443" s="41"/>
      <c r="M443" s="41"/>
      <c r="N443" s="41">
        <f t="shared" si="82"/>
        <v>0</v>
      </c>
      <c r="O443" s="68">
        <f t="shared" si="83"/>
        <v>0</v>
      </c>
      <c r="P443" s="101"/>
      <c r="Q443" s="48"/>
      <c r="R443" s="48"/>
      <c r="S443" s="48"/>
      <c r="T443" s="48"/>
      <c r="U443" s="48"/>
      <c r="V443" s="48"/>
      <c r="W443" s="48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57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</row>
    <row r="444" spans="2:64" ht="14.25" thickBot="1" thickTop="1">
      <c r="B444" s="208">
        <v>33</v>
      </c>
      <c r="C444" s="37"/>
      <c r="D444" s="33"/>
      <c r="E444" s="88"/>
      <c r="F444" s="86"/>
      <c r="G444" s="8" t="s">
        <v>13</v>
      </c>
      <c r="H444" s="41"/>
      <c r="I444" s="86"/>
      <c r="J444" s="86"/>
      <c r="K444" s="41"/>
      <c r="L444" s="41"/>
      <c r="M444" s="41"/>
      <c r="N444" s="41">
        <f t="shared" si="82"/>
        <v>0</v>
      </c>
      <c r="O444" s="68">
        <f t="shared" si="83"/>
        <v>0</v>
      </c>
      <c r="P444" s="101"/>
      <c r="Q444" s="48"/>
      <c r="R444" s="48"/>
      <c r="S444" s="48"/>
      <c r="T444" s="48"/>
      <c r="U444" s="48"/>
      <c r="V444" s="48"/>
      <c r="W444" s="48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57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</row>
    <row r="445" spans="2:64" ht="14.25" thickBot="1" thickTop="1">
      <c r="B445" s="208">
        <v>33</v>
      </c>
      <c r="C445" s="38"/>
      <c r="D445" s="35"/>
      <c r="E445" s="125"/>
      <c r="F445" s="189"/>
      <c r="G445" s="12" t="s">
        <v>14</v>
      </c>
      <c r="H445" s="43">
        <v>963.68</v>
      </c>
      <c r="I445" s="185">
        <v>262.14</v>
      </c>
      <c r="J445" s="87"/>
      <c r="K445" s="43"/>
      <c r="L445" s="43"/>
      <c r="M445" s="43"/>
      <c r="N445" s="41">
        <f t="shared" si="82"/>
        <v>13.107</v>
      </c>
      <c r="O445" s="75">
        <f t="shared" si="83"/>
        <v>0</v>
      </c>
      <c r="P445" s="104"/>
      <c r="Q445" s="49"/>
      <c r="R445" s="49"/>
      <c r="S445" s="49"/>
      <c r="T445" s="49"/>
      <c r="U445" s="49"/>
      <c r="V445" s="49"/>
      <c r="W445" s="49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128">
        <f>AY433+I433+J433-K433-L433-M433-N433-O433</f>
        <v>249.033</v>
      </c>
      <c r="AZ445"/>
      <c r="BA445"/>
      <c r="BB445"/>
      <c r="BC445"/>
      <c r="BD445"/>
      <c r="BE445"/>
      <c r="BF445"/>
      <c r="BG445"/>
      <c r="BH445"/>
      <c r="BI445"/>
      <c r="BJ445"/>
      <c r="BK445"/>
      <c r="BL445"/>
    </row>
    <row r="446" spans="1:51" ht="23.25" customHeight="1" thickBot="1" thickTop="1">
      <c r="A446" s="71"/>
      <c r="B446" s="231" t="s">
        <v>20</v>
      </c>
      <c r="C446" s="232"/>
      <c r="D446" s="232"/>
      <c r="E446" s="233"/>
      <c r="F446" s="127">
        <f>SUM(F4:F445)</f>
        <v>77596.13</v>
      </c>
      <c r="G446" s="127"/>
      <c r="H446" s="130">
        <v>2169258.5</v>
      </c>
      <c r="I446" s="146">
        <v>1945705.099999999</v>
      </c>
      <c r="J446" s="130">
        <f aca="true" t="shared" si="84" ref="J446:O446">J4+J17+J30+J43+J56+J69+J82+J95+J108+J121+J134+J147+J160+J173+J186+J199+J212+J225+J238+J251+J264+J277+J290+J303+J316+J329+J342+J355+J368+J381+J394+J407+J420+J433</f>
        <v>23744.22</v>
      </c>
      <c r="K446" s="130">
        <f t="shared" si="84"/>
        <v>181933.05000000002</v>
      </c>
      <c r="L446" s="130">
        <f t="shared" si="84"/>
        <v>223358.90000000002</v>
      </c>
      <c r="M446" s="130">
        <f t="shared" si="84"/>
        <v>66584.26999999999</v>
      </c>
      <c r="N446" s="130">
        <f t="shared" si="84"/>
        <v>97285.25500000003</v>
      </c>
      <c r="O446" s="130">
        <f t="shared" si="84"/>
        <v>3331515.2999999993</v>
      </c>
      <c r="P446" s="159" t="s">
        <v>75</v>
      </c>
      <c r="Q446" s="130">
        <f aca="true" t="shared" si="85" ref="Q446:AX446">Q4+Q17+Q30+Q43+Q56+Q69+Q82+Q95+Q108+Q121+Q134+Q147+Q160+Q173+Q186+Q199+Q212+Q225+Q238+Q251+Q264+Q277+Q290+Q303+Q316+Q329+Q342+Q355+Q368+Q381+Q394+Q407+Q420+Q433</f>
        <v>676148.5</v>
      </c>
      <c r="R446" s="130">
        <f t="shared" si="85"/>
        <v>242535</v>
      </c>
      <c r="S446" s="130">
        <f t="shared" si="85"/>
        <v>142016</v>
      </c>
      <c r="T446" s="130">
        <f t="shared" si="85"/>
        <v>34339</v>
      </c>
      <c r="U446" s="130">
        <f t="shared" si="85"/>
        <v>299</v>
      </c>
      <c r="V446" s="130">
        <f t="shared" si="85"/>
        <v>84863</v>
      </c>
      <c r="W446" s="130">
        <f t="shared" si="85"/>
        <v>480428</v>
      </c>
      <c r="X446" s="130">
        <f t="shared" si="85"/>
        <v>102160</v>
      </c>
      <c r="Y446" s="130">
        <f t="shared" si="85"/>
        <v>2529</v>
      </c>
      <c r="Z446" s="130">
        <f t="shared" si="85"/>
        <v>0</v>
      </c>
      <c r="AA446" s="130">
        <f t="shared" si="85"/>
        <v>337902</v>
      </c>
      <c r="AB446" s="130">
        <f t="shared" si="85"/>
        <v>9354</v>
      </c>
      <c r="AC446" s="130">
        <f t="shared" si="85"/>
        <v>0</v>
      </c>
      <c r="AD446" s="130">
        <f t="shared" si="85"/>
        <v>25623</v>
      </c>
      <c r="AE446" s="130">
        <f t="shared" si="85"/>
        <v>629</v>
      </c>
      <c r="AF446" s="130">
        <f t="shared" si="85"/>
        <v>4213</v>
      </c>
      <c r="AG446" s="130">
        <f t="shared" si="85"/>
        <v>16204</v>
      </c>
      <c r="AH446" s="130">
        <f t="shared" si="85"/>
        <v>562732</v>
      </c>
      <c r="AI446" s="130">
        <f t="shared" si="85"/>
        <v>1982</v>
      </c>
      <c r="AJ446" s="130">
        <f t="shared" si="85"/>
        <v>247309.32</v>
      </c>
      <c r="AK446" s="130">
        <f t="shared" si="85"/>
        <v>0</v>
      </c>
      <c r="AL446" s="130">
        <f t="shared" si="85"/>
        <v>5174</v>
      </c>
      <c r="AM446" s="130">
        <f t="shared" si="85"/>
        <v>0</v>
      </c>
      <c r="AN446" s="130">
        <f t="shared" si="85"/>
        <v>322659</v>
      </c>
      <c r="AO446" s="130">
        <f t="shared" si="85"/>
        <v>4296.97</v>
      </c>
      <c r="AP446" s="130">
        <f t="shared" si="85"/>
        <v>0</v>
      </c>
      <c r="AQ446" s="130">
        <f t="shared" si="85"/>
        <v>0</v>
      </c>
      <c r="AR446" s="130">
        <f t="shared" si="85"/>
        <v>0</v>
      </c>
      <c r="AS446" s="130">
        <f t="shared" si="85"/>
        <v>0</v>
      </c>
      <c r="AT446" s="130">
        <f t="shared" si="85"/>
        <v>0</v>
      </c>
      <c r="AU446" s="130">
        <f t="shared" si="85"/>
        <v>0</v>
      </c>
      <c r="AV446" s="130">
        <f t="shared" si="85"/>
        <v>0</v>
      </c>
      <c r="AW446" s="130">
        <f t="shared" si="85"/>
        <v>0</v>
      </c>
      <c r="AX446" s="130">
        <f t="shared" si="85"/>
        <v>28119.51</v>
      </c>
      <c r="AY446" s="127">
        <f>AY16+AY29+AY42+AY55+AY68+AY81+AY94+AY107+AY120+AY133+AY146+AY159+AY172+AY185+AY198+AY211+AY224+AY237+AY250+AY263+AY276+AY289+AY302+AY315+AY328+AY341+AY354+AY367+AY380+AY393+AY406+AY419+AY432+AY445</f>
        <v>-2578079.385</v>
      </c>
    </row>
    <row r="447" ht="13.5" thickTop="1">
      <c r="A447" s="71"/>
    </row>
    <row r="448" ht="12.75">
      <c r="A448" s="71"/>
    </row>
    <row r="449" ht="12.75">
      <c r="A449" s="71"/>
    </row>
    <row r="450" ht="12.75">
      <c r="A450" s="71"/>
    </row>
    <row r="451" ht="12.75">
      <c r="A451" s="71"/>
    </row>
    <row r="452" ht="12.75">
      <c r="A452" s="71"/>
    </row>
    <row r="453" ht="12.75">
      <c r="A453" s="71"/>
    </row>
    <row r="454" ht="12.75">
      <c r="A454" s="71"/>
    </row>
    <row r="455" ht="12.75">
      <c r="A455" s="71"/>
    </row>
    <row r="456" ht="12.75">
      <c r="A456" s="71"/>
    </row>
    <row r="457" ht="12.75">
      <c r="A457" s="71"/>
    </row>
    <row r="458" ht="12.75">
      <c r="A458" s="71"/>
    </row>
    <row r="459" ht="12.75">
      <c r="A459" s="71"/>
    </row>
    <row r="460" ht="12.75">
      <c r="A460" s="71"/>
    </row>
    <row r="461" ht="12.75">
      <c r="A461" s="71"/>
    </row>
    <row r="462" ht="12.75">
      <c r="A462" s="71"/>
    </row>
    <row r="463" ht="12.75">
      <c r="A463" s="71"/>
    </row>
    <row r="464" ht="12.75">
      <c r="A464" s="71"/>
    </row>
    <row r="465" ht="12.75">
      <c r="A465" s="71"/>
    </row>
    <row r="466" ht="12.75">
      <c r="A466" s="71"/>
    </row>
    <row r="467" ht="12.75">
      <c r="A467" s="71"/>
    </row>
    <row r="468" ht="12.75">
      <c r="A468" s="71"/>
    </row>
    <row r="469" ht="12.75">
      <c r="A469" s="71"/>
    </row>
    <row r="470" ht="12.75">
      <c r="A470" s="71"/>
    </row>
    <row r="471" spans="2:64" s="4" customFormat="1" ht="22.5" customHeight="1">
      <c r="B471" s="126"/>
      <c r="C471" s="1"/>
      <c r="D471" s="1"/>
      <c r="E471" s="126"/>
      <c r="F471" s="83"/>
      <c r="G471" s="6"/>
      <c r="H471" s="74"/>
      <c r="I471" s="22"/>
      <c r="J471" s="22"/>
      <c r="K471" s="22"/>
      <c r="L471" s="22"/>
      <c r="M471" s="22"/>
      <c r="N471" s="22"/>
      <c r="O471" s="6"/>
      <c r="P471" s="111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7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ht="29.25" customHeight="1"/>
    <row r="481" spans="2:64" s="4" customFormat="1" ht="22.5" customHeight="1">
      <c r="B481" s="126"/>
      <c r="C481" s="1"/>
      <c r="D481" s="1"/>
      <c r="E481" s="126"/>
      <c r="F481" s="83"/>
      <c r="G481" s="6"/>
      <c r="H481" s="74"/>
      <c r="I481" s="22"/>
      <c r="J481" s="22"/>
      <c r="K481" s="22"/>
      <c r="L481" s="22"/>
      <c r="M481" s="22"/>
      <c r="N481" s="22"/>
      <c r="O481" s="6"/>
      <c r="P481" s="111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7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3" spans="2:64" s="4" customFormat="1" ht="22.5" customHeight="1">
      <c r="B483" s="126"/>
      <c r="C483" s="1"/>
      <c r="D483" s="1"/>
      <c r="E483" s="126"/>
      <c r="F483" s="83"/>
      <c r="G483" s="6"/>
      <c r="H483" s="74"/>
      <c r="I483" s="22"/>
      <c r="J483" s="22"/>
      <c r="K483" s="22"/>
      <c r="L483" s="22"/>
      <c r="M483" s="22"/>
      <c r="N483" s="22"/>
      <c r="O483" s="6"/>
      <c r="P483" s="111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7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</sheetData>
  <sheetProtection password="CE28" sheet="1" objects="1" scenarios="1" selectLockedCells="1" selectUnlockedCells="1"/>
  <autoFilter ref="B2:P446"/>
  <mergeCells count="16">
    <mergeCell ref="B446:E446"/>
    <mergeCell ref="G2:G3"/>
    <mergeCell ref="I2:I3"/>
    <mergeCell ref="H2:H3"/>
    <mergeCell ref="P2:P3"/>
    <mergeCell ref="O2:O3"/>
    <mergeCell ref="K2:K3"/>
    <mergeCell ref="L2:L3"/>
    <mergeCell ref="M2:M3"/>
    <mergeCell ref="N2:N3"/>
    <mergeCell ref="F2:F3"/>
    <mergeCell ref="D2:D3"/>
    <mergeCell ref="E2:E3"/>
    <mergeCell ref="J2:J3"/>
    <mergeCell ref="C2:C3"/>
    <mergeCell ref="B2:B3"/>
  </mergeCells>
  <printOptions/>
  <pageMargins left="0.11811023622047245" right="0.11811023622047245" top="0.2362204724409449" bottom="0.15748031496062992" header="0.11811023622047245" footer="0.11811023622047245"/>
  <pageSetup horizontalDpi="600" verticalDpi="600" orientation="landscape" paperSize="9" scale="74" r:id="rId1"/>
  <rowBreaks count="2" manualBreakCount="2">
    <brk id="346" min="1" max="50" man="1"/>
    <brk id="396" min="1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BM484"/>
  <sheetViews>
    <sheetView tabSelected="1" view="pageBreakPreview" zoomScaleSheetLayoutView="100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E11" sqref="E11"/>
    </sheetView>
  </sheetViews>
  <sheetFormatPr defaultColWidth="9.140625" defaultRowHeight="12.75"/>
  <cols>
    <col min="1" max="1" width="2.00390625" style="0" customWidth="1"/>
    <col min="2" max="2" width="3.28125" style="6" customWidth="1"/>
    <col min="3" max="3" width="20.00390625" style="1" customWidth="1"/>
    <col min="4" max="4" width="7.421875" style="1" customWidth="1"/>
    <col min="5" max="5" width="10.421875" style="126" customWidth="1"/>
    <col min="6" max="6" width="9.8515625" style="1" customWidth="1"/>
    <col min="7" max="7" width="6.140625" style="6" bestFit="1" customWidth="1"/>
    <col min="8" max="8" width="10.8515625" style="22" customWidth="1"/>
    <col min="9" max="9" width="11.421875" style="22" bestFit="1" customWidth="1"/>
    <col min="10" max="10" width="11.421875" style="22" customWidth="1"/>
    <col min="11" max="11" width="10.7109375" style="22" customWidth="1"/>
    <col min="12" max="13" width="10.421875" style="22" customWidth="1"/>
    <col min="14" max="14" width="10.28125" style="22" customWidth="1"/>
    <col min="15" max="15" width="11.7109375" style="6" customWidth="1"/>
    <col min="16" max="16" width="22.00390625" style="111" bestFit="1" customWidth="1"/>
    <col min="17" max="17" width="12.00390625" style="6" customWidth="1"/>
    <col min="18" max="18" width="11.57421875" style="6" customWidth="1"/>
    <col min="19" max="19" width="9.57421875" style="6" customWidth="1"/>
    <col min="20" max="21" width="8.140625" style="6" customWidth="1"/>
    <col min="22" max="22" width="10.140625" style="6" customWidth="1"/>
    <col min="23" max="23" width="11.140625" style="6" customWidth="1"/>
    <col min="24" max="25" width="8.140625" style="6" customWidth="1"/>
    <col min="26" max="27" width="8.57421875" style="6" customWidth="1"/>
    <col min="28" max="30" width="10.8515625" style="6" customWidth="1"/>
    <col min="31" max="31" width="11.8515625" style="6" customWidth="1"/>
    <col min="32" max="34" width="10.8515625" style="6" customWidth="1"/>
    <col min="35" max="38" width="14.140625" style="6" customWidth="1"/>
    <col min="39" max="39" width="8.140625" style="6" customWidth="1"/>
    <col min="40" max="40" width="8.8515625" style="6" customWidth="1"/>
    <col min="41" max="41" width="11.00390625" style="6" customWidth="1"/>
    <col min="42" max="43" width="9.421875" style="6" customWidth="1"/>
    <col min="44" max="44" width="11.57421875" style="6" customWidth="1"/>
    <col min="45" max="45" width="9.8515625" style="6" customWidth="1"/>
    <col min="46" max="46" width="10.00390625" style="6" customWidth="1"/>
    <col min="47" max="47" width="10.140625" style="6" customWidth="1"/>
    <col min="48" max="48" width="11.28125" style="6" customWidth="1"/>
    <col min="49" max="49" width="11.57421875" style="1" customWidth="1"/>
    <col min="50" max="65" width="9.140625" style="1" customWidth="1"/>
  </cols>
  <sheetData>
    <row r="1" spans="1:48" s="165" customFormat="1" ht="16.5" customHeight="1" thickBot="1">
      <c r="A1" s="160"/>
      <c r="B1" s="161" t="s">
        <v>157</v>
      </c>
      <c r="C1" s="162"/>
      <c r="D1" s="162"/>
      <c r="E1" s="162"/>
      <c r="F1" s="162"/>
      <c r="G1" s="162"/>
      <c r="H1" s="163"/>
      <c r="I1" s="163"/>
      <c r="J1" s="163"/>
      <c r="K1" s="163"/>
      <c r="L1" s="163"/>
      <c r="M1" s="163"/>
      <c r="N1" s="163"/>
      <c r="O1" s="162"/>
      <c r="P1" s="164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</row>
    <row r="2" spans="2:65" s="5" customFormat="1" ht="24.75" customHeight="1" thickTop="1">
      <c r="B2" s="240" t="s">
        <v>0</v>
      </c>
      <c r="C2" s="229" t="s">
        <v>1</v>
      </c>
      <c r="D2" s="223" t="s">
        <v>22</v>
      </c>
      <c r="E2" s="225" t="s">
        <v>23</v>
      </c>
      <c r="F2" s="246" t="s">
        <v>2</v>
      </c>
      <c r="G2" s="234" t="s">
        <v>24</v>
      </c>
      <c r="H2" s="236" t="s">
        <v>29</v>
      </c>
      <c r="I2" s="236" t="s">
        <v>25</v>
      </c>
      <c r="J2" s="227" t="s">
        <v>320</v>
      </c>
      <c r="K2" s="241" t="s">
        <v>341</v>
      </c>
      <c r="L2" s="241" t="s">
        <v>342</v>
      </c>
      <c r="M2" s="241" t="s">
        <v>343</v>
      </c>
      <c r="N2" s="241" t="s">
        <v>344</v>
      </c>
      <c r="O2" s="240" t="s">
        <v>27</v>
      </c>
      <c r="P2" s="238" t="s">
        <v>30</v>
      </c>
      <c r="Q2" s="157" t="s">
        <v>64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39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2:48" ht="117" customHeight="1" thickBot="1">
      <c r="B3" s="235"/>
      <c r="C3" s="230"/>
      <c r="D3" s="224"/>
      <c r="E3" s="226"/>
      <c r="F3" s="247"/>
      <c r="G3" s="235"/>
      <c r="H3" s="237"/>
      <c r="I3" s="237"/>
      <c r="J3" s="228"/>
      <c r="K3" s="242"/>
      <c r="L3" s="242"/>
      <c r="M3" s="242"/>
      <c r="N3" s="242"/>
      <c r="O3" s="235"/>
      <c r="P3" s="239"/>
      <c r="Q3" s="26" t="s">
        <v>61</v>
      </c>
      <c r="R3" s="26" t="s">
        <v>280</v>
      </c>
      <c r="S3" s="27" t="s">
        <v>155</v>
      </c>
      <c r="T3" s="27" t="s">
        <v>36</v>
      </c>
      <c r="U3" s="27" t="s">
        <v>308</v>
      </c>
      <c r="V3" s="27" t="s">
        <v>279</v>
      </c>
      <c r="W3" s="27" t="s">
        <v>86</v>
      </c>
      <c r="X3" s="27" t="s">
        <v>142</v>
      </c>
      <c r="Y3" s="27" t="s">
        <v>111</v>
      </c>
      <c r="Z3" s="27" t="s">
        <v>257</v>
      </c>
      <c r="AA3" s="27" t="s">
        <v>260</v>
      </c>
      <c r="AB3" s="27" t="s">
        <v>85</v>
      </c>
      <c r="AC3" s="27" t="s">
        <v>356</v>
      </c>
      <c r="AD3" s="27" t="s">
        <v>80</v>
      </c>
      <c r="AE3" s="27" t="s">
        <v>282</v>
      </c>
      <c r="AF3" s="27" t="s">
        <v>189</v>
      </c>
      <c r="AG3" s="27" t="s">
        <v>203</v>
      </c>
      <c r="AH3" s="27" t="s">
        <v>252</v>
      </c>
      <c r="AI3" s="27" t="s">
        <v>152</v>
      </c>
      <c r="AJ3" s="27" t="s">
        <v>153</v>
      </c>
      <c r="AK3" s="27" t="s">
        <v>154</v>
      </c>
      <c r="AL3" s="27" t="s">
        <v>156</v>
      </c>
      <c r="AM3" s="27" t="s">
        <v>91</v>
      </c>
      <c r="AN3" s="27" t="s">
        <v>37</v>
      </c>
      <c r="AO3" s="27" t="s">
        <v>34</v>
      </c>
      <c r="AP3" s="27" t="s">
        <v>42</v>
      </c>
      <c r="AQ3" s="27" t="s">
        <v>301</v>
      </c>
      <c r="AR3" s="27" t="s">
        <v>369</v>
      </c>
      <c r="AS3" s="27" t="s">
        <v>38</v>
      </c>
      <c r="AT3" s="27" t="s">
        <v>368</v>
      </c>
      <c r="AU3" s="27" t="s">
        <v>39</v>
      </c>
      <c r="AV3" s="27" t="s">
        <v>62</v>
      </c>
    </row>
    <row r="4" spans="2:65" s="4" customFormat="1" ht="14.25" customHeight="1" thickBot="1" thickTop="1">
      <c r="B4" s="148">
        <v>1</v>
      </c>
      <c r="C4" s="28" t="s">
        <v>15</v>
      </c>
      <c r="D4" s="29">
        <v>13</v>
      </c>
      <c r="E4" s="141" t="s">
        <v>45</v>
      </c>
      <c r="F4" s="84">
        <v>8087.53</v>
      </c>
      <c r="G4" s="50"/>
      <c r="H4" s="69">
        <v>608089.51</v>
      </c>
      <c r="I4" s="69">
        <v>582530.93</v>
      </c>
      <c r="J4" s="69">
        <f>SUM(J5:J16)</f>
        <v>0</v>
      </c>
      <c r="K4" s="211">
        <f>SUM(K5:K16)</f>
        <v>29256.18</v>
      </c>
      <c r="L4" s="211">
        <f>SUM(L5:L16)</f>
        <v>29717.42</v>
      </c>
      <c r="M4" s="211">
        <f>SUM(M5:M16)</f>
        <v>25774.8</v>
      </c>
      <c r="N4" s="215">
        <f>SUM(N5:N16)</f>
        <v>29126.546500000004</v>
      </c>
      <c r="O4" s="16">
        <f>SUM(Q4:AU4)</f>
        <v>456357.56</v>
      </c>
      <c r="P4" s="110"/>
      <c r="Q4" s="11">
        <f>SUM(Q5:Q16)</f>
        <v>319429</v>
      </c>
      <c r="R4" s="11">
        <f aca="true" t="shared" si="0" ref="R4:AU4">SUM(R5:R16)</f>
        <v>0</v>
      </c>
      <c r="S4" s="11">
        <f t="shared" si="0"/>
        <v>9311</v>
      </c>
      <c r="T4" s="11">
        <f t="shared" si="0"/>
        <v>298</v>
      </c>
      <c r="U4" s="11">
        <f t="shared" si="0"/>
        <v>0</v>
      </c>
      <c r="V4" s="50">
        <f t="shared" si="0"/>
        <v>2156</v>
      </c>
      <c r="W4" s="50">
        <f t="shared" si="0"/>
        <v>6168</v>
      </c>
      <c r="X4" s="50">
        <f t="shared" si="0"/>
        <v>0</v>
      </c>
      <c r="Y4" s="50">
        <f t="shared" si="0"/>
        <v>0</v>
      </c>
      <c r="Z4" s="50">
        <f t="shared" si="0"/>
        <v>0</v>
      </c>
      <c r="AA4" s="50">
        <f>SUM(AA5:AA16)</f>
        <v>166</v>
      </c>
      <c r="AB4" s="50">
        <f t="shared" si="0"/>
        <v>0</v>
      </c>
      <c r="AC4" s="50">
        <f aca="true" t="shared" si="1" ref="AC4:AH4">SUM(AC5:AC16)</f>
        <v>32298</v>
      </c>
      <c r="AD4" s="50">
        <f t="shared" si="1"/>
        <v>11074</v>
      </c>
      <c r="AE4" s="50">
        <f t="shared" si="1"/>
        <v>0</v>
      </c>
      <c r="AF4" s="50">
        <f t="shared" si="1"/>
        <v>5417</v>
      </c>
      <c r="AG4" s="50">
        <f t="shared" si="1"/>
        <v>0</v>
      </c>
      <c r="AH4" s="50">
        <f t="shared" si="1"/>
        <v>0</v>
      </c>
      <c r="AI4" s="50">
        <f t="shared" si="0"/>
        <v>28324</v>
      </c>
      <c r="AJ4" s="50">
        <f t="shared" si="0"/>
        <v>3429</v>
      </c>
      <c r="AK4" s="50">
        <f t="shared" si="0"/>
        <v>0</v>
      </c>
      <c r="AL4" s="50">
        <f t="shared" si="0"/>
        <v>1354</v>
      </c>
      <c r="AM4" s="50">
        <f t="shared" si="0"/>
        <v>0</v>
      </c>
      <c r="AN4" s="11">
        <f t="shared" si="0"/>
        <v>0</v>
      </c>
      <c r="AO4" s="11">
        <f t="shared" si="0"/>
        <v>0</v>
      </c>
      <c r="AP4" s="11">
        <f t="shared" si="0"/>
        <v>0</v>
      </c>
      <c r="AQ4" s="11">
        <f>SUM(AQ5:AQ16)</f>
        <v>0</v>
      </c>
      <c r="AR4" s="11">
        <f>SUM(AR5:AR16)</f>
        <v>0</v>
      </c>
      <c r="AS4" s="11">
        <f t="shared" si="0"/>
        <v>29493.56</v>
      </c>
      <c r="AT4" s="11">
        <f t="shared" si="0"/>
        <v>0</v>
      </c>
      <c r="AU4" s="11">
        <f t="shared" si="0"/>
        <v>7440</v>
      </c>
      <c r="AV4" s="127">
        <v>51913.06</v>
      </c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2:48" ht="13.5" thickTop="1">
      <c r="B5" s="149">
        <v>1</v>
      </c>
      <c r="C5" s="30" t="s">
        <v>68</v>
      </c>
      <c r="D5" s="31"/>
      <c r="E5" s="89"/>
      <c r="F5" s="85"/>
      <c r="G5" s="9" t="s">
        <v>3</v>
      </c>
      <c r="H5" s="41">
        <v>47089.54</v>
      </c>
      <c r="I5" s="19">
        <v>36138.38</v>
      </c>
      <c r="J5" s="41"/>
      <c r="K5" s="212">
        <v>29256.18</v>
      </c>
      <c r="L5" s="212">
        <v>29717.42</v>
      </c>
      <c r="M5" s="212">
        <v>25774.8</v>
      </c>
      <c r="N5" s="210">
        <f>I5*0.05</f>
        <v>1806.9189999999999</v>
      </c>
      <c r="O5" s="10">
        <f>SUM(Q5:AU5)</f>
        <v>32480.39</v>
      </c>
      <c r="P5" s="106" t="s">
        <v>217</v>
      </c>
      <c r="Q5" s="39">
        <v>30001</v>
      </c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>
        <v>133</v>
      </c>
      <c r="AE5" s="39"/>
      <c r="AF5" s="39"/>
      <c r="AG5" s="39"/>
      <c r="AH5" s="39"/>
      <c r="AI5" s="39"/>
      <c r="AJ5" s="39"/>
      <c r="AK5" s="39"/>
      <c r="AL5" s="39"/>
      <c r="AM5" s="39"/>
      <c r="AN5" s="23"/>
      <c r="AO5" s="23"/>
      <c r="AP5" s="23"/>
      <c r="AQ5" s="23"/>
      <c r="AR5" s="23"/>
      <c r="AS5" s="23">
        <v>2346.39</v>
      </c>
      <c r="AT5" s="23"/>
      <c r="AU5" s="23"/>
      <c r="AV5" s="23"/>
    </row>
    <row r="6" spans="2:48" ht="12.75">
      <c r="B6" s="58">
        <v>1</v>
      </c>
      <c r="C6" s="32"/>
      <c r="D6" s="33"/>
      <c r="E6" s="90"/>
      <c r="F6" s="86"/>
      <c r="G6" s="8" t="s">
        <v>4</v>
      </c>
      <c r="H6" s="42">
        <v>47089.54</v>
      </c>
      <c r="I6" s="20">
        <v>59581.32</v>
      </c>
      <c r="J6" s="42"/>
      <c r="K6" s="213"/>
      <c r="L6" s="213"/>
      <c r="M6" s="213"/>
      <c r="N6" s="210">
        <f aca="true" t="shared" si="2" ref="N6:N16">I6*0.05</f>
        <v>2979.0660000000003</v>
      </c>
      <c r="O6" s="10">
        <f aca="true" t="shared" si="3" ref="O6:O16">SUM(Q6:AU6)</f>
        <v>37195.39</v>
      </c>
      <c r="P6" s="101" t="s">
        <v>219</v>
      </c>
      <c r="Q6" s="48">
        <v>30001</v>
      </c>
      <c r="R6" s="48"/>
      <c r="S6" s="48">
        <v>298</v>
      </c>
      <c r="T6" s="48"/>
      <c r="U6" s="48"/>
      <c r="V6" s="48"/>
      <c r="W6" s="48"/>
      <c r="X6" s="48"/>
      <c r="Y6" s="48"/>
      <c r="Z6" s="48"/>
      <c r="AA6" s="48"/>
      <c r="AB6" s="48"/>
      <c r="AC6" s="48"/>
      <c r="AD6" s="48">
        <v>4550</v>
      </c>
      <c r="AE6" s="48"/>
      <c r="AF6" s="48"/>
      <c r="AG6" s="48"/>
      <c r="AH6" s="48"/>
      <c r="AI6" s="48"/>
      <c r="AJ6" s="48"/>
      <c r="AK6" s="48"/>
      <c r="AL6" s="48"/>
      <c r="AM6" s="48"/>
      <c r="AN6" s="24"/>
      <c r="AO6" s="24"/>
      <c r="AP6" s="24"/>
      <c r="AQ6" s="24"/>
      <c r="AR6" s="24"/>
      <c r="AS6" s="24">
        <v>2346.39</v>
      </c>
      <c r="AT6" s="23"/>
      <c r="AU6" s="24"/>
      <c r="AV6" s="24"/>
    </row>
    <row r="7" spans="2:49" ht="12.75">
      <c r="B7" s="58">
        <v>1</v>
      </c>
      <c r="C7" s="32"/>
      <c r="D7" s="33"/>
      <c r="E7" s="90"/>
      <c r="F7" s="86"/>
      <c r="G7" s="8" t="s">
        <v>5</v>
      </c>
      <c r="H7" s="42">
        <v>47087.22</v>
      </c>
      <c r="I7" s="20">
        <v>40745.67</v>
      </c>
      <c r="J7" s="42"/>
      <c r="K7" s="213"/>
      <c r="L7" s="213"/>
      <c r="M7" s="213"/>
      <c r="N7" s="210">
        <f t="shared" si="2"/>
        <v>2037.2835</v>
      </c>
      <c r="O7" s="10">
        <f t="shared" si="3"/>
        <v>40139.27</v>
      </c>
      <c r="P7" s="102" t="s">
        <v>218</v>
      </c>
      <c r="Q7" s="48">
        <v>30001</v>
      </c>
      <c r="R7" s="48"/>
      <c r="S7" s="48">
        <v>744</v>
      </c>
      <c r="T7" s="48"/>
      <c r="U7" s="48"/>
      <c r="V7" s="48"/>
      <c r="W7" s="48"/>
      <c r="X7" s="48"/>
      <c r="Y7" s="48"/>
      <c r="Z7" s="48"/>
      <c r="AA7" s="48"/>
      <c r="AB7" s="48"/>
      <c r="AC7" s="48"/>
      <c r="AD7" s="48">
        <f>133+1498</f>
        <v>1631</v>
      </c>
      <c r="AE7" s="48"/>
      <c r="AF7" s="48">
        <v>5417</v>
      </c>
      <c r="AG7" s="48"/>
      <c r="AH7" s="48"/>
      <c r="AI7" s="48"/>
      <c r="AJ7" s="48"/>
      <c r="AK7" s="48"/>
      <c r="AL7" s="48"/>
      <c r="AM7" s="48"/>
      <c r="AN7" s="24"/>
      <c r="AO7" s="24"/>
      <c r="AP7" s="24"/>
      <c r="AQ7" s="24"/>
      <c r="AR7" s="24"/>
      <c r="AS7" s="24">
        <v>2346.27</v>
      </c>
      <c r="AT7" s="23"/>
      <c r="AU7" s="23"/>
      <c r="AV7" s="24"/>
      <c r="AW7" s="56"/>
    </row>
    <row r="8" spans="2:48" ht="12.75">
      <c r="B8" s="58">
        <v>1</v>
      </c>
      <c r="C8" s="32"/>
      <c r="D8" s="33"/>
      <c r="E8" s="90"/>
      <c r="F8" s="86"/>
      <c r="G8" s="8" t="s">
        <v>6</v>
      </c>
      <c r="H8" s="42">
        <v>46506.42</v>
      </c>
      <c r="I8" s="20">
        <v>47634.07</v>
      </c>
      <c r="J8" s="42"/>
      <c r="K8" s="213"/>
      <c r="L8" s="213"/>
      <c r="M8" s="213"/>
      <c r="N8" s="210">
        <f t="shared" si="2"/>
        <v>2381.7035</v>
      </c>
      <c r="O8" s="10">
        <f t="shared" si="3"/>
        <v>30655.27</v>
      </c>
      <c r="P8" s="102"/>
      <c r="Q8" s="48">
        <v>26280</v>
      </c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24"/>
      <c r="AO8" s="24"/>
      <c r="AP8" s="24"/>
      <c r="AQ8" s="24"/>
      <c r="AR8" s="24"/>
      <c r="AS8" s="24">
        <v>2346.27</v>
      </c>
      <c r="AT8" s="24"/>
      <c r="AU8" s="24">
        <v>2029</v>
      </c>
      <c r="AV8" s="24"/>
    </row>
    <row r="9" spans="2:48" ht="12.75">
      <c r="B9" s="58">
        <v>1</v>
      </c>
      <c r="C9" s="32"/>
      <c r="D9" s="33"/>
      <c r="E9" s="90"/>
      <c r="F9" s="86"/>
      <c r="G9" s="8" t="s">
        <v>7</v>
      </c>
      <c r="H9" s="42">
        <v>47087.22</v>
      </c>
      <c r="I9" s="20">
        <v>49728.26</v>
      </c>
      <c r="J9" s="42"/>
      <c r="K9" s="213"/>
      <c r="L9" s="213"/>
      <c r="M9" s="213"/>
      <c r="N9" s="210">
        <f t="shared" si="2"/>
        <v>2486.4130000000005</v>
      </c>
      <c r="O9" s="10">
        <f t="shared" si="3"/>
        <v>56943.27</v>
      </c>
      <c r="P9" s="101" t="s">
        <v>248</v>
      </c>
      <c r="Q9" s="48">
        <v>27210</v>
      </c>
      <c r="R9" s="48"/>
      <c r="S9" s="48">
        <f>4450+278</f>
        <v>4728</v>
      </c>
      <c r="T9" s="48">
        <v>298</v>
      </c>
      <c r="U9" s="48"/>
      <c r="V9" s="48"/>
      <c r="W9" s="48">
        <v>6168</v>
      </c>
      <c r="X9" s="48"/>
      <c r="Y9" s="48"/>
      <c r="Z9" s="48"/>
      <c r="AA9" s="48">
        <v>166</v>
      </c>
      <c r="AB9" s="48"/>
      <c r="AC9" s="48">
        <v>15888</v>
      </c>
      <c r="AD9" s="48">
        <v>139</v>
      </c>
      <c r="AE9" s="48"/>
      <c r="AF9" s="48"/>
      <c r="AG9" s="48"/>
      <c r="AH9" s="48"/>
      <c r="AI9" s="48"/>
      <c r="AJ9" s="48"/>
      <c r="AK9" s="48"/>
      <c r="AL9" s="48"/>
      <c r="AM9" s="48"/>
      <c r="AN9" s="24"/>
      <c r="AO9" s="24"/>
      <c r="AP9" s="24"/>
      <c r="AQ9" s="24"/>
      <c r="AR9" s="24"/>
      <c r="AS9" s="24">
        <v>2346.27</v>
      </c>
      <c r="AT9" s="23"/>
      <c r="AU9" s="24"/>
      <c r="AV9" s="24"/>
    </row>
    <row r="10" spans="2:48" ht="12.75">
      <c r="B10" s="58">
        <v>1</v>
      </c>
      <c r="C10" s="32"/>
      <c r="D10" s="33"/>
      <c r="E10" s="90"/>
      <c r="F10" s="86"/>
      <c r="G10" s="8" t="s">
        <v>8</v>
      </c>
      <c r="H10" s="42">
        <v>47087.22</v>
      </c>
      <c r="I10" s="20">
        <v>44236.84</v>
      </c>
      <c r="J10" s="42"/>
      <c r="K10" s="213"/>
      <c r="L10" s="213"/>
      <c r="M10" s="213"/>
      <c r="N10" s="210">
        <f t="shared" si="2"/>
        <v>2211.842</v>
      </c>
      <c r="O10" s="10">
        <f t="shared" si="3"/>
        <v>29457.27</v>
      </c>
      <c r="P10" s="103"/>
      <c r="Q10" s="48">
        <v>25420</v>
      </c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24"/>
      <c r="AO10" s="24"/>
      <c r="AP10" s="24"/>
      <c r="AQ10" s="24"/>
      <c r="AR10" s="24"/>
      <c r="AS10" s="24">
        <v>2346.27</v>
      </c>
      <c r="AT10" s="24"/>
      <c r="AU10" s="24">
        <v>1691</v>
      </c>
      <c r="AV10" s="24"/>
    </row>
    <row r="11" spans="2:48" ht="12.75">
      <c r="B11" s="58">
        <v>1</v>
      </c>
      <c r="C11" s="32"/>
      <c r="D11" s="33"/>
      <c r="E11" s="90"/>
      <c r="F11" s="86"/>
      <c r="G11" s="8" t="s">
        <v>9</v>
      </c>
      <c r="H11" s="42">
        <v>52669.98</v>
      </c>
      <c r="I11" s="20">
        <v>45968.97</v>
      </c>
      <c r="J11" s="42"/>
      <c r="K11" s="213"/>
      <c r="L11" s="213"/>
      <c r="M11" s="213"/>
      <c r="N11" s="210">
        <f t="shared" si="2"/>
        <v>2298.4485</v>
      </c>
      <c r="O11" s="10">
        <f t="shared" si="3"/>
        <v>28271.09</v>
      </c>
      <c r="P11" s="101" t="s">
        <v>266</v>
      </c>
      <c r="Q11" s="48">
        <v>25420</v>
      </c>
      <c r="R11" s="48"/>
      <c r="S11" s="48">
        <v>343</v>
      </c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24"/>
      <c r="AO11" s="24"/>
      <c r="AP11" s="24"/>
      <c r="AQ11" s="24"/>
      <c r="AR11" s="24"/>
      <c r="AS11" s="24">
        <v>2508.09</v>
      </c>
      <c r="AT11" s="24"/>
      <c r="AU11" s="24"/>
      <c r="AV11" s="24"/>
    </row>
    <row r="12" spans="2:48" ht="13.5" customHeight="1">
      <c r="B12" s="58">
        <v>1</v>
      </c>
      <c r="C12" s="32"/>
      <c r="D12" s="33"/>
      <c r="E12" s="90"/>
      <c r="F12" s="86"/>
      <c r="G12" s="8" t="s">
        <v>10</v>
      </c>
      <c r="H12" s="42">
        <v>52725.96</v>
      </c>
      <c r="I12" s="20">
        <v>48169.73</v>
      </c>
      <c r="J12" s="42"/>
      <c r="K12" s="213"/>
      <c r="L12" s="213"/>
      <c r="M12" s="213"/>
      <c r="N12" s="210">
        <f t="shared" si="2"/>
        <v>2408.4865000000004</v>
      </c>
      <c r="O12" s="10">
        <f t="shared" si="3"/>
        <v>27928.09</v>
      </c>
      <c r="P12" s="101"/>
      <c r="Q12" s="48">
        <v>25420</v>
      </c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24"/>
      <c r="AO12" s="24"/>
      <c r="AP12" s="24"/>
      <c r="AQ12" s="24"/>
      <c r="AR12" s="24"/>
      <c r="AS12" s="24">
        <v>2508.09</v>
      </c>
      <c r="AT12" s="24"/>
      <c r="AU12" s="24"/>
      <c r="AV12" s="24"/>
    </row>
    <row r="13" spans="2:48" ht="12.75">
      <c r="B13" s="58">
        <v>1</v>
      </c>
      <c r="C13" s="32"/>
      <c r="D13" s="33"/>
      <c r="E13" s="90"/>
      <c r="F13" s="86"/>
      <c r="G13" s="8" t="s">
        <v>11</v>
      </c>
      <c r="H13" s="42">
        <v>50914.75</v>
      </c>
      <c r="I13" s="20">
        <v>41032.71</v>
      </c>
      <c r="J13" s="42"/>
      <c r="K13" s="213"/>
      <c r="L13" s="213"/>
      <c r="M13" s="213"/>
      <c r="N13" s="210">
        <f t="shared" si="2"/>
        <v>2051.6355</v>
      </c>
      <c r="O13" s="10">
        <f t="shared" si="3"/>
        <v>33825.09</v>
      </c>
      <c r="P13" s="101" t="s">
        <v>377</v>
      </c>
      <c r="Q13" s="48">
        <v>25420</v>
      </c>
      <c r="R13" s="48"/>
      <c r="S13" s="48">
        <v>1217</v>
      </c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>
        <v>1297</v>
      </c>
      <c r="AE13" s="48"/>
      <c r="AF13" s="48"/>
      <c r="AG13" s="48"/>
      <c r="AH13" s="48"/>
      <c r="AI13" s="48"/>
      <c r="AJ13" s="48"/>
      <c r="AK13" s="48"/>
      <c r="AL13" s="48">
        <f>305+853+196</f>
        <v>1354</v>
      </c>
      <c r="AM13" s="48"/>
      <c r="AN13" s="24"/>
      <c r="AO13" s="24"/>
      <c r="AP13" s="24"/>
      <c r="AQ13" s="24"/>
      <c r="AR13" s="24"/>
      <c r="AS13" s="24">
        <v>2508.09</v>
      </c>
      <c r="AT13" s="24"/>
      <c r="AU13" s="24">
        <v>2029</v>
      </c>
      <c r="AV13" s="24"/>
    </row>
    <row r="14" spans="2:48" ht="12.75">
      <c r="B14" s="58">
        <v>1</v>
      </c>
      <c r="C14" s="32"/>
      <c r="D14" s="33"/>
      <c r="E14" s="90"/>
      <c r="F14" s="86"/>
      <c r="G14" s="8" t="s">
        <v>12</v>
      </c>
      <c r="H14" s="42">
        <v>56664.16</v>
      </c>
      <c r="I14" s="20">
        <v>68163.42</v>
      </c>
      <c r="J14" s="42"/>
      <c r="K14" s="213"/>
      <c r="L14" s="213"/>
      <c r="M14" s="213"/>
      <c r="N14" s="210">
        <f t="shared" si="2"/>
        <v>3408.1710000000003</v>
      </c>
      <c r="O14" s="10">
        <f t="shared" si="3"/>
        <v>28583.75</v>
      </c>
      <c r="P14" s="101" t="s">
        <v>322</v>
      </c>
      <c r="Q14" s="24">
        <v>25420</v>
      </c>
      <c r="R14" s="24"/>
      <c r="S14" s="24">
        <v>653</v>
      </c>
      <c r="T14" s="24"/>
      <c r="U14" s="24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24"/>
      <c r="AO14" s="24"/>
      <c r="AP14" s="24"/>
      <c r="AQ14" s="24"/>
      <c r="AR14" s="24"/>
      <c r="AS14" s="24">
        <v>2510.75</v>
      </c>
      <c r="AT14" s="24"/>
      <c r="AU14" s="24"/>
      <c r="AV14" s="24"/>
    </row>
    <row r="15" spans="2:48" ht="12.75">
      <c r="B15" s="58">
        <v>1</v>
      </c>
      <c r="C15" s="32"/>
      <c r="D15" s="33"/>
      <c r="E15" s="90"/>
      <c r="F15" s="86"/>
      <c r="G15" s="8" t="s">
        <v>13</v>
      </c>
      <c r="H15" s="42">
        <v>56583.75</v>
      </c>
      <c r="I15" s="20">
        <v>37655.82</v>
      </c>
      <c r="J15" s="42"/>
      <c r="K15" s="213"/>
      <c r="L15" s="213"/>
      <c r="M15" s="213"/>
      <c r="N15" s="210">
        <f t="shared" si="2"/>
        <v>1882.7910000000002</v>
      </c>
      <c r="O15" s="10">
        <f t="shared" si="3"/>
        <v>78429.34</v>
      </c>
      <c r="P15" s="101"/>
      <c r="Q15" s="24">
        <v>25420</v>
      </c>
      <c r="R15" s="24"/>
      <c r="S15" s="24"/>
      <c r="T15" s="24"/>
      <c r="U15" s="24"/>
      <c r="V15" s="48">
        <v>2156</v>
      </c>
      <c r="W15" s="48"/>
      <c r="X15" s="48"/>
      <c r="Y15" s="48"/>
      <c r="Z15" s="48"/>
      <c r="AA15" s="48"/>
      <c r="AB15" s="48"/>
      <c r="AC15" s="48">
        <v>16410</v>
      </c>
      <c r="AD15" s="48"/>
      <c r="AE15" s="48"/>
      <c r="AF15" s="48"/>
      <c r="AG15" s="48"/>
      <c r="AH15" s="48"/>
      <c r="AI15" s="48">
        <v>28324</v>
      </c>
      <c r="AJ15" s="48">
        <v>3429</v>
      </c>
      <c r="AK15" s="48"/>
      <c r="AL15" s="48"/>
      <c r="AM15" s="48"/>
      <c r="AN15" s="24"/>
      <c r="AO15" s="24"/>
      <c r="AP15" s="24"/>
      <c r="AQ15" s="24"/>
      <c r="AR15" s="24"/>
      <c r="AS15" s="24">
        <v>2690.34</v>
      </c>
      <c r="AT15" s="24"/>
      <c r="AU15" s="24"/>
      <c r="AV15" s="24"/>
    </row>
    <row r="16" spans="2:48" ht="13.5" thickBot="1">
      <c r="B16" s="150">
        <v>1</v>
      </c>
      <c r="C16" s="34"/>
      <c r="D16" s="35"/>
      <c r="E16" s="142"/>
      <c r="F16" s="87"/>
      <c r="G16" s="12" t="s">
        <v>14</v>
      </c>
      <c r="H16" s="43">
        <v>56583.75</v>
      </c>
      <c r="I16" s="21">
        <v>63475.74</v>
      </c>
      <c r="J16" s="43"/>
      <c r="K16" s="214"/>
      <c r="L16" s="214"/>
      <c r="M16" s="214"/>
      <c r="N16" s="210">
        <f t="shared" si="2"/>
        <v>3173.7870000000003</v>
      </c>
      <c r="O16" s="10">
        <f t="shared" si="3"/>
        <v>32449.34</v>
      </c>
      <c r="P16" s="104"/>
      <c r="Q16" s="25">
        <v>23416</v>
      </c>
      <c r="R16" s="25"/>
      <c r="S16" s="25">
        <f>979+349</f>
        <v>1328</v>
      </c>
      <c r="T16" s="25"/>
      <c r="U16" s="25"/>
      <c r="V16" s="49"/>
      <c r="W16" s="49"/>
      <c r="X16" s="49"/>
      <c r="Y16" s="49"/>
      <c r="Z16" s="49"/>
      <c r="AA16" s="49"/>
      <c r="AB16" s="49"/>
      <c r="AC16" s="49"/>
      <c r="AD16" s="49">
        <v>3324</v>
      </c>
      <c r="AE16" s="49"/>
      <c r="AF16" s="49"/>
      <c r="AG16" s="49"/>
      <c r="AH16" s="49"/>
      <c r="AI16" s="49"/>
      <c r="AJ16" s="49"/>
      <c r="AK16" s="49"/>
      <c r="AL16" s="49"/>
      <c r="AM16" s="49"/>
      <c r="AN16" s="25"/>
      <c r="AO16" s="25"/>
      <c r="AP16" s="25"/>
      <c r="AQ16" s="25"/>
      <c r="AR16" s="25"/>
      <c r="AS16" s="25">
        <v>2690.34</v>
      </c>
      <c r="AT16" s="25"/>
      <c r="AU16" s="25">
        <v>1691</v>
      </c>
      <c r="AV16" s="128">
        <f>AV4+I4+J4-K4-L4-M4-N4-O4</f>
        <v>64211.48349999986</v>
      </c>
    </row>
    <row r="17" spans="2:65" s="4" customFormat="1" ht="15" customHeight="1" thickBot="1" thickTop="1">
      <c r="B17" s="148">
        <v>2</v>
      </c>
      <c r="C17" s="28" t="s">
        <v>15</v>
      </c>
      <c r="D17" s="29">
        <v>15</v>
      </c>
      <c r="E17" s="141" t="s">
        <v>45</v>
      </c>
      <c r="F17" s="84">
        <v>6783.7</v>
      </c>
      <c r="G17" s="50"/>
      <c r="H17" s="69">
        <v>447649.52999999997</v>
      </c>
      <c r="I17" s="69">
        <v>402404.34</v>
      </c>
      <c r="J17" s="69">
        <f>SUM(J18:J29)</f>
        <v>0</v>
      </c>
      <c r="K17" s="211">
        <f>SUM(K18:K29)</f>
        <v>19279.75</v>
      </c>
      <c r="L17" s="211">
        <f>SUM(L18:L29)</f>
        <v>17926.92</v>
      </c>
      <c r="M17" s="211">
        <f>SUM(M18:M29)</f>
        <v>14940.36</v>
      </c>
      <c r="N17" s="215">
        <f>SUM(N18:N29)</f>
        <v>20120.217</v>
      </c>
      <c r="O17" s="16">
        <f>SUM(Q17:AU17)</f>
        <v>305377.88</v>
      </c>
      <c r="P17" s="99"/>
      <c r="Q17" s="11">
        <f>SUM(Q18:Q29)</f>
        <v>223453</v>
      </c>
      <c r="R17" s="11">
        <f>SUM(R18:R29)</f>
        <v>377</v>
      </c>
      <c r="S17" s="11">
        <f>SUM(S18:S29)</f>
        <v>744</v>
      </c>
      <c r="T17" s="11">
        <f>SUM(T18:T29)</f>
        <v>324</v>
      </c>
      <c r="U17" s="11">
        <f>SUM(U18:U29)</f>
        <v>0</v>
      </c>
      <c r="V17" s="50">
        <f aca="true" t="shared" si="4" ref="V17:AM17">SUM(V18:V29)</f>
        <v>1535</v>
      </c>
      <c r="W17" s="50">
        <f t="shared" si="4"/>
        <v>5249</v>
      </c>
      <c r="X17" s="50">
        <f t="shared" si="4"/>
        <v>88</v>
      </c>
      <c r="Y17" s="50">
        <f t="shared" si="4"/>
        <v>3162</v>
      </c>
      <c r="Z17" s="50">
        <f>SUM(Z18:Z29)</f>
        <v>0</v>
      </c>
      <c r="AA17" s="50">
        <f>SUM(AA18:AA29)</f>
        <v>0</v>
      </c>
      <c r="AB17" s="50">
        <f t="shared" si="4"/>
        <v>0</v>
      </c>
      <c r="AC17" s="50">
        <f t="shared" si="4"/>
        <v>0</v>
      </c>
      <c r="AD17" s="50">
        <f t="shared" si="4"/>
        <v>27477</v>
      </c>
      <c r="AE17" s="50">
        <f t="shared" si="4"/>
        <v>0</v>
      </c>
      <c r="AF17" s="50">
        <f t="shared" si="4"/>
        <v>9331</v>
      </c>
      <c r="AG17" s="50">
        <f t="shared" si="4"/>
        <v>118</v>
      </c>
      <c r="AH17" s="50">
        <f t="shared" si="4"/>
        <v>0</v>
      </c>
      <c r="AI17" s="50">
        <f>SUM(AI18:AI29)</f>
        <v>0</v>
      </c>
      <c r="AJ17" s="50">
        <f>SUM(AJ18:AJ29)</f>
        <v>0</v>
      </c>
      <c r="AK17" s="50">
        <f>SUM(AK18:AK29)</f>
        <v>0</v>
      </c>
      <c r="AL17" s="50">
        <f>SUM(AL18:AL29)</f>
        <v>1204</v>
      </c>
      <c r="AM17" s="50">
        <f t="shared" si="4"/>
        <v>0</v>
      </c>
      <c r="AN17" s="11">
        <f aca="true" t="shared" si="5" ref="AN17:AU17">SUM(AN18:AN29)</f>
        <v>0</v>
      </c>
      <c r="AO17" s="11">
        <f t="shared" si="5"/>
        <v>0</v>
      </c>
      <c r="AP17" s="11">
        <f t="shared" si="5"/>
        <v>0</v>
      </c>
      <c r="AQ17" s="11">
        <f>SUM(AQ18:AQ29)</f>
        <v>0</v>
      </c>
      <c r="AR17" s="11">
        <f>SUM(AR18:AR29)</f>
        <v>0</v>
      </c>
      <c r="AS17" s="11">
        <f>SUM(AS18:AS29)</f>
        <v>24395.88</v>
      </c>
      <c r="AT17" s="11">
        <f t="shared" si="5"/>
        <v>1000</v>
      </c>
      <c r="AU17" s="11">
        <f t="shared" si="5"/>
        <v>6920</v>
      </c>
      <c r="AV17" s="127">
        <v>-120517.36</v>
      </c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2:49" ht="13.5" thickTop="1">
      <c r="B18" s="149">
        <v>2</v>
      </c>
      <c r="C18" s="30" t="s">
        <v>68</v>
      </c>
      <c r="D18" s="31"/>
      <c r="E18" s="89"/>
      <c r="F18" s="85"/>
      <c r="G18" s="9" t="s">
        <v>3</v>
      </c>
      <c r="H18" s="41">
        <v>30204.22</v>
      </c>
      <c r="I18" s="19">
        <v>27974.28</v>
      </c>
      <c r="J18" s="41"/>
      <c r="K18" s="212">
        <v>19279.75</v>
      </c>
      <c r="L18" s="212">
        <v>17926.92</v>
      </c>
      <c r="M18" s="212">
        <v>14940.36</v>
      </c>
      <c r="N18" s="210">
        <f>I18*0.05</f>
        <v>1398.714</v>
      </c>
      <c r="O18" s="10">
        <f>SUM(Q18:AU18)</f>
        <v>27302.3</v>
      </c>
      <c r="P18" s="112" t="s">
        <v>224</v>
      </c>
      <c r="Q18" s="39">
        <v>20602</v>
      </c>
      <c r="R18" s="23"/>
      <c r="S18" s="39"/>
      <c r="T18" s="23"/>
      <c r="U18" s="23"/>
      <c r="V18" s="39"/>
      <c r="W18" s="39"/>
      <c r="X18" s="39"/>
      <c r="Y18" s="39"/>
      <c r="Z18" s="39"/>
      <c r="AA18" s="39"/>
      <c r="AB18" s="39"/>
      <c r="AC18" s="39"/>
      <c r="AD18" s="39">
        <v>3735</v>
      </c>
      <c r="AE18" s="39"/>
      <c r="AF18" s="39"/>
      <c r="AG18" s="39"/>
      <c r="AH18" s="39"/>
      <c r="AI18" s="39"/>
      <c r="AJ18" s="39"/>
      <c r="AK18" s="39"/>
      <c r="AL18" s="39"/>
      <c r="AM18" s="39"/>
      <c r="AN18" s="23"/>
      <c r="AO18" s="23"/>
      <c r="AP18" s="39"/>
      <c r="AQ18" s="39"/>
      <c r="AR18" s="39"/>
      <c r="AS18" s="23">
        <v>1965.3</v>
      </c>
      <c r="AT18" s="23">
        <v>1000</v>
      </c>
      <c r="AU18" s="23"/>
      <c r="AV18" s="44"/>
      <c r="AW18" s="53"/>
    </row>
    <row r="19" spans="2:49" ht="12.75">
      <c r="B19" s="58">
        <v>2</v>
      </c>
      <c r="C19" s="37"/>
      <c r="D19" s="33"/>
      <c r="E19" s="90"/>
      <c r="F19" s="86"/>
      <c r="G19" s="8" t="s">
        <v>4</v>
      </c>
      <c r="H19" s="42">
        <v>30496.06</v>
      </c>
      <c r="I19" s="20">
        <v>34484</v>
      </c>
      <c r="J19" s="42"/>
      <c r="K19" s="213"/>
      <c r="L19" s="213"/>
      <c r="M19" s="213"/>
      <c r="N19" s="210">
        <f aca="true" t="shared" si="6" ref="N19:N29">I19*0.05</f>
        <v>1724.2</v>
      </c>
      <c r="O19" s="10">
        <f aca="true" t="shared" si="7" ref="O19:O29">SUM(Q19:AU19)</f>
        <v>22700.3</v>
      </c>
      <c r="P19" s="102" t="s">
        <v>184</v>
      </c>
      <c r="Q19" s="48">
        <v>20602</v>
      </c>
      <c r="R19" s="23"/>
      <c r="S19" s="39"/>
      <c r="T19" s="24"/>
      <c r="U19" s="24"/>
      <c r="V19" s="48"/>
      <c r="W19" s="48"/>
      <c r="X19" s="48"/>
      <c r="Y19" s="48"/>
      <c r="Z19" s="48"/>
      <c r="AA19" s="48"/>
      <c r="AB19" s="48"/>
      <c r="AC19" s="48"/>
      <c r="AD19" s="48">
        <v>133</v>
      </c>
      <c r="AE19" s="48"/>
      <c r="AF19" s="48"/>
      <c r="AG19" s="48"/>
      <c r="AH19" s="48"/>
      <c r="AI19" s="48"/>
      <c r="AJ19" s="48"/>
      <c r="AK19" s="48"/>
      <c r="AL19" s="48"/>
      <c r="AM19" s="48"/>
      <c r="AN19" s="24"/>
      <c r="AO19" s="24"/>
      <c r="AP19" s="48"/>
      <c r="AQ19" s="48"/>
      <c r="AR19" s="48"/>
      <c r="AS19" s="24">
        <v>1965.3</v>
      </c>
      <c r="AT19" s="23"/>
      <c r="AU19" s="24"/>
      <c r="AV19" s="55"/>
      <c r="AW19" s="53"/>
    </row>
    <row r="20" spans="2:48" ht="12.75">
      <c r="B20" s="58">
        <v>2</v>
      </c>
      <c r="C20" s="37"/>
      <c r="D20" s="33"/>
      <c r="E20" s="90"/>
      <c r="F20" s="86"/>
      <c r="G20" s="8" t="s">
        <v>5</v>
      </c>
      <c r="H20" s="42">
        <v>30496.06</v>
      </c>
      <c r="I20" s="20">
        <v>24763.5</v>
      </c>
      <c r="J20" s="42"/>
      <c r="K20" s="213"/>
      <c r="L20" s="213"/>
      <c r="M20" s="213"/>
      <c r="N20" s="210">
        <f t="shared" si="6"/>
        <v>1238.1750000000002</v>
      </c>
      <c r="O20" s="10">
        <f t="shared" si="7"/>
        <v>33504.3</v>
      </c>
      <c r="P20" s="102" t="s">
        <v>225</v>
      </c>
      <c r="Q20" s="48">
        <v>20602</v>
      </c>
      <c r="R20" s="24"/>
      <c r="S20" s="48">
        <v>744</v>
      </c>
      <c r="T20" s="24"/>
      <c r="U20" s="24"/>
      <c r="V20" s="48"/>
      <c r="W20" s="48"/>
      <c r="X20" s="48"/>
      <c r="Y20" s="48"/>
      <c r="Z20" s="48"/>
      <c r="AA20" s="48"/>
      <c r="AB20" s="48"/>
      <c r="AC20" s="48"/>
      <c r="AD20" s="48">
        <v>744</v>
      </c>
      <c r="AE20" s="48"/>
      <c r="AF20" s="48">
        <v>9331</v>
      </c>
      <c r="AG20" s="48">
        <v>118</v>
      </c>
      <c r="AH20" s="48"/>
      <c r="AI20" s="48"/>
      <c r="AJ20" s="48"/>
      <c r="AK20" s="48"/>
      <c r="AL20" s="48"/>
      <c r="AM20" s="48"/>
      <c r="AN20" s="24"/>
      <c r="AO20" s="24"/>
      <c r="AP20" s="48"/>
      <c r="AQ20" s="48"/>
      <c r="AR20" s="48"/>
      <c r="AS20" s="24">
        <v>1965.3</v>
      </c>
      <c r="AT20" s="23"/>
      <c r="AU20" s="23"/>
      <c r="AV20" s="48"/>
    </row>
    <row r="21" spans="2:48" ht="12.75">
      <c r="B21" s="58">
        <v>2</v>
      </c>
      <c r="C21" s="37"/>
      <c r="D21" s="33"/>
      <c r="E21" s="90"/>
      <c r="F21" s="86"/>
      <c r="G21" s="8" t="s">
        <v>6</v>
      </c>
      <c r="H21" s="42">
        <v>30496.06</v>
      </c>
      <c r="I21" s="20">
        <v>27928.81</v>
      </c>
      <c r="J21" s="42"/>
      <c r="K21" s="213"/>
      <c r="L21" s="213"/>
      <c r="M21" s="213"/>
      <c r="N21" s="210">
        <f t="shared" si="6"/>
        <v>1396.4405000000002</v>
      </c>
      <c r="O21" s="10">
        <f>SUM(Q21:AU21)</f>
        <v>24663.3</v>
      </c>
      <c r="P21" s="101" t="s">
        <v>212</v>
      </c>
      <c r="Q21" s="48">
        <v>20745</v>
      </c>
      <c r="R21" s="24"/>
      <c r="S21" s="48"/>
      <c r="T21" s="24"/>
      <c r="U21" s="24"/>
      <c r="V21" s="48"/>
      <c r="W21" s="48"/>
      <c r="X21" s="48"/>
      <c r="Y21" s="48"/>
      <c r="Z21" s="48"/>
      <c r="AA21" s="48"/>
      <c r="AB21" s="48"/>
      <c r="AC21" s="48"/>
      <c r="AD21" s="48">
        <v>133</v>
      </c>
      <c r="AE21" s="48"/>
      <c r="AF21" s="48"/>
      <c r="AG21" s="48"/>
      <c r="AH21" s="48"/>
      <c r="AI21" s="48"/>
      <c r="AJ21" s="48"/>
      <c r="AK21" s="48"/>
      <c r="AL21" s="48"/>
      <c r="AM21" s="48"/>
      <c r="AN21" s="24"/>
      <c r="AO21" s="24"/>
      <c r="AP21" s="48"/>
      <c r="AQ21" s="48"/>
      <c r="AR21" s="48"/>
      <c r="AS21" s="24">
        <v>1965.3</v>
      </c>
      <c r="AT21" s="24"/>
      <c r="AU21" s="24">
        <v>1820</v>
      </c>
      <c r="AV21" s="48"/>
    </row>
    <row r="22" spans="2:48" ht="12.75">
      <c r="B22" s="58">
        <v>2</v>
      </c>
      <c r="C22" s="37"/>
      <c r="D22" s="33"/>
      <c r="E22" s="90"/>
      <c r="F22" s="86"/>
      <c r="G22" s="8" t="s">
        <v>7</v>
      </c>
      <c r="H22" s="42">
        <v>30496.06</v>
      </c>
      <c r="I22" s="20">
        <v>33445.49</v>
      </c>
      <c r="J22" s="42"/>
      <c r="K22" s="213"/>
      <c r="L22" s="213"/>
      <c r="M22" s="213"/>
      <c r="N22" s="210">
        <f t="shared" si="6"/>
        <v>1672.2745</v>
      </c>
      <c r="O22" s="10">
        <f t="shared" si="7"/>
        <v>28976.3</v>
      </c>
      <c r="P22" s="103" t="s">
        <v>254</v>
      </c>
      <c r="Q22" s="48">
        <v>18600</v>
      </c>
      <c r="R22" s="48"/>
      <c r="S22" s="48"/>
      <c r="T22" s="24"/>
      <c r="U22" s="24"/>
      <c r="V22" s="48"/>
      <c r="W22" s="48">
        <v>5249</v>
      </c>
      <c r="X22" s="48"/>
      <c r="Y22" s="48">
        <v>3162</v>
      </c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24"/>
      <c r="AO22" s="24"/>
      <c r="AP22" s="48"/>
      <c r="AQ22" s="48"/>
      <c r="AR22" s="48"/>
      <c r="AS22" s="24">
        <v>1965.3</v>
      </c>
      <c r="AT22" s="23"/>
      <c r="AU22" s="24"/>
      <c r="AV22" s="48"/>
    </row>
    <row r="23" spans="2:48" ht="12.75">
      <c r="B23" s="58">
        <v>2</v>
      </c>
      <c r="C23" s="37"/>
      <c r="D23" s="33"/>
      <c r="E23" s="90"/>
      <c r="F23" s="86"/>
      <c r="G23" s="8" t="s">
        <v>8</v>
      </c>
      <c r="H23" s="42">
        <v>30495.16</v>
      </c>
      <c r="I23" s="20">
        <v>28210.85</v>
      </c>
      <c r="J23" s="42"/>
      <c r="K23" s="213"/>
      <c r="L23" s="213"/>
      <c r="M23" s="213"/>
      <c r="N23" s="210">
        <f t="shared" si="6"/>
        <v>1410.5425</v>
      </c>
      <c r="O23" s="10">
        <f t="shared" si="7"/>
        <v>37241.3</v>
      </c>
      <c r="P23" s="101" t="s">
        <v>277</v>
      </c>
      <c r="Q23" s="48">
        <v>18601</v>
      </c>
      <c r="R23" s="48">
        <v>377</v>
      </c>
      <c r="S23" s="48"/>
      <c r="T23" s="24"/>
      <c r="U23" s="24"/>
      <c r="V23" s="48"/>
      <c r="W23" s="48"/>
      <c r="X23" s="48"/>
      <c r="Y23" s="48"/>
      <c r="Z23" s="48"/>
      <c r="AA23" s="48"/>
      <c r="AB23" s="48"/>
      <c r="AC23" s="48"/>
      <c r="AD23" s="48">
        <v>14658</v>
      </c>
      <c r="AE23" s="48"/>
      <c r="AF23" s="48"/>
      <c r="AG23" s="48"/>
      <c r="AH23" s="48"/>
      <c r="AI23" s="48"/>
      <c r="AJ23" s="48"/>
      <c r="AK23" s="48"/>
      <c r="AL23" s="48"/>
      <c r="AM23" s="48"/>
      <c r="AN23" s="24"/>
      <c r="AO23" s="24"/>
      <c r="AP23" s="48"/>
      <c r="AQ23" s="48"/>
      <c r="AR23" s="48"/>
      <c r="AS23" s="24">
        <v>1965.3</v>
      </c>
      <c r="AT23" s="24"/>
      <c r="AU23" s="24">
        <v>1640</v>
      </c>
      <c r="AV23" s="48"/>
    </row>
    <row r="24" spans="2:48" ht="12.75">
      <c r="B24" s="58">
        <v>2</v>
      </c>
      <c r="C24" s="37"/>
      <c r="D24" s="33"/>
      <c r="E24" s="90"/>
      <c r="F24" s="86"/>
      <c r="G24" s="8" t="s">
        <v>9</v>
      </c>
      <c r="H24" s="42">
        <v>44116.38</v>
      </c>
      <c r="I24" s="20">
        <v>34680.53</v>
      </c>
      <c r="J24" s="42"/>
      <c r="K24" s="213"/>
      <c r="L24" s="213"/>
      <c r="M24" s="213"/>
      <c r="N24" s="210">
        <f t="shared" si="6"/>
        <v>1734.0265</v>
      </c>
      <c r="O24" s="10">
        <f t="shared" si="7"/>
        <v>29099.68</v>
      </c>
      <c r="P24" s="103" t="s">
        <v>319</v>
      </c>
      <c r="Q24" s="48">
        <v>18601</v>
      </c>
      <c r="R24" s="24"/>
      <c r="S24" s="48"/>
      <c r="T24" s="48">
        <v>324</v>
      </c>
      <c r="U24" s="24"/>
      <c r="V24" s="48"/>
      <c r="W24" s="48"/>
      <c r="X24" s="48"/>
      <c r="Y24" s="48"/>
      <c r="Z24" s="48"/>
      <c r="AA24" s="48"/>
      <c r="AB24" s="48"/>
      <c r="AC24" s="48"/>
      <c r="AD24" s="48">
        <v>8074</v>
      </c>
      <c r="AE24" s="48"/>
      <c r="AF24" s="48"/>
      <c r="AG24" s="48"/>
      <c r="AH24" s="48"/>
      <c r="AI24" s="48"/>
      <c r="AJ24" s="48"/>
      <c r="AK24" s="48"/>
      <c r="AL24" s="48"/>
      <c r="AM24" s="48"/>
      <c r="AN24" s="24"/>
      <c r="AO24" s="24"/>
      <c r="AP24" s="48"/>
      <c r="AQ24" s="48"/>
      <c r="AR24" s="48"/>
      <c r="AS24" s="24">
        <v>2100.68</v>
      </c>
      <c r="AT24" s="24"/>
      <c r="AU24" s="24"/>
      <c r="AV24" s="48"/>
    </row>
    <row r="25" spans="2:48" ht="12.75">
      <c r="B25" s="58">
        <v>2</v>
      </c>
      <c r="C25" s="37"/>
      <c r="D25" s="33"/>
      <c r="E25" s="90"/>
      <c r="F25" s="86"/>
      <c r="G25" s="8" t="s">
        <v>10</v>
      </c>
      <c r="H25" s="42">
        <v>44115.73</v>
      </c>
      <c r="I25" s="20">
        <v>33472.73</v>
      </c>
      <c r="J25" s="42"/>
      <c r="K25" s="213"/>
      <c r="L25" s="213"/>
      <c r="M25" s="213"/>
      <c r="N25" s="210">
        <f t="shared" si="6"/>
        <v>1673.6365000000003</v>
      </c>
      <c r="O25" s="10">
        <f t="shared" si="7"/>
        <v>20701.68</v>
      </c>
      <c r="P25" s="103"/>
      <c r="Q25" s="48">
        <v>18601</v>
      </c>
      <c r="R25" s="24"/>
      <c r="S25" s="48"/>
      <c r="T25" s="24"/>
      <c r="U25" s="24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24"/>
      <c r="AO25" s="24"/>
      <c r="AP25" s="48"/>
      <c r="AQ25" s="48"/>
      <c r="AR25" s="48"/>
      <c r="AS25" s="24">
        <v>2100.68</v>
      </c>
      <c r="AT25" s="24"/>
      <c r="AU25" s="24"/>
      <c r="AV25" s="48"/>
    </row>
    <row r="26" spans="2:48" ht="12.75">
      <c r="B26" s="58">
        <v>2</v>
      </c>
      <c r="C26" s="37"/>
      <c r="D26" s="33"/>
      <c r="E26" s="90"/>
      <c r="F26" s="86"/>
      <c r="G26" s="8" t="s">
        <v>11</v>
      </c>
      <c r="H26" s="42">
        <v>44115.73</v>
      </c>
      <c r="I26" s="20">
        <v>27298.07</v>
      </c>
      <c r="J26" s="42"/>
      <c r="K26" s="213"/>
      <c r="L26" s="213"/>
      <c r="M26" s="213"/>
      <c r="N26" s="210">
        <f t="shared" si="6"/>
        <v>1364.9035000000001</v>
      </c>
      <c r="O26" s="10">
        <f t="shared" si="7"/>
        <v>23796.68</v>
      </c>
      <c r="P26" s="103"/>
      <c r="Q26" s="48">
        <v>18601</v>
      </c>
      <c r="R26" s="24"/>
      <c r="S26" s="48"/>
      <c r="T26" s="24"/>
      <c r="U26" s="24"/>
      <c r="V26" s="48"/>
      <c r="W26" s="48"/>
      <c r="X26" s="48">
        <v>71</v>
      </c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>
        <v>1204</v>
      </c>
      <c r="AM26" s="48"/>
      <c r="AN26" s="24"/>
      <c r="AO26" s="24"/>
      <c r="AP26" s="48"/>
      <c r="AQ26" s="48"/>
      <c r="AR26" s="48"/>
      <c r="AS26" s="24">
        <v>2100.68</v>
      </c>
      <c r="AT26" s="24"/>
      <c r="AU26" s="24">
        <v>1820</v>
      </c>
      <c r="AV26" s="48"/>
    </row>
    <row r="27" spans="2:48" ht="12.75">
      <c r="B27" s="58">
        <v>2</v>
      </c>
      <c r="C27" s="37"/>
      <c r="D27" s="33"/>
      <c r="E27" s="90"/>
      <c r="F27" s="86"/>
      <c r="G27" s="8" t="s">
        <v>12</v>
      </c>
      <c r="H27" s="42">
        <v>44251.17</v>
      </c>
      <c r="I27" s="20">
        <v>57614.44</v>
      </c>
      <c r="J27" s="42"/>
      <c r="K27" s="213"/>
      <c r="L27" s="213"/>
      <c r="M27" s="213"/>
      <c r="N27" s="210">
        <f t="shared" si="6"/>
        <v>2880.722</v>
      </c>
      <c r="O27" s="10">
        <f t="shared" si="7"/>
        <v>20718.68</v>
      </c>
      <c r="P27" s="101" t="s">
        <v>325</v>
      </c>
      <c r="Q27" s="48">
        <v>18601</v>
      </c>
      <c r="R27" s="24"/>
      <c r="S27" s="24"/>
      <c r="T27" s="24"/>
      <c r="U27" s="24"/>
      <c r="V27" s="48"/>
      <c r="W27" s="48"/>
      <c r="X27" s="48">
        <v>17</v>
      </c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24"/>
      <c r="AO27" s="24"/>
      <c r="AP27" s="48"/>
      <c r="AQ27" s="48"/>
      <c r="AR27" s="48"/>
      <c r="AS27" s="24">
        <v>2100.68</v>
      </c>
      <c r="AT27" s="24"/>
      <c r="AU27" s="24"/>
      <c r="AV27" s="48"/>
    </row>
    <row r="28" spans="2:48" ht="12.75">
      <c r="B28" s="58">
        <v>2</v>
      </c>
      <c r="C28" s="37"/>
      <c r="D28" s="33"/>
      <c r="E28" s="90"/>
      <c r="F28" s="86"/>
      <c r="G28" s="8" t="s">
        <v>13</v>
      </c>
      <c r="H28" s="42">
        <v>44183.45</v>
      </c>
      <c r="I28" s="20">
        <v>29511.34</v>
      </c>
      <c r="J28" s="42"/>
      <c r="K28" s="213"/>
      <c r="L28" s="213"/>
      <c r="M28" s="213"/>
      <c r="N28" s="210">
        <f t="shared" si="6"/>
        <v>1475.567</v>
      </c>
      <c r="O28" s="10">
        <f t="shared" si="7"/>
        <v>22236.68</v>
      </c>
      <c r="P28" s="101"/>
      <c r="Q28" s="48">
        <v>18601</v>
      </c>
      <c r="R28" s="24"/>
      <c r="S28" s="24"/>
      <c r="T28" s="24"/>
      <c r="U28" s="24"/>
      <c r="V28" s="48">
        <v>1535</v>
      </c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24"/>
      <c r="AO28" s="24"/>
      <c r="AP28" s="48"/>
      <c r="AQ28" s="48"/>
      <c r="AR28" s="48"/>
      <c r="AS28" s="24">
        <v>2100.68</v>
      </c>
      <c r="AT28" s="24"/>
      <c r="AU28" s="24"/>
      <c r="AV28" s="48"/>
    </row>
    <row r="29" spans="2:48" ht="13.5" thickBot="1">
      <c r="B29" s="150">
        <v>2</v>
      </c>
      <c r="C29" s="38"/>
      <c r="D29" s="35"/>
      <c r="E29" s="142"/>
      <c r="F29" s="87"/>
      <c r="G29" s="12" t="s">
        <v>14</v>
      </c>
      <c r="H29" s="42">
        <v>44183.45</v>
      </c>
      <c r="I29" s="21">
        <v>43020.3</v>
      </c>
      <c r="J29" s="42"/>
      <c r="K29" s="213"/>
      <c r="L29" s="213"/>
      <c r="M29" s="213"/>
      <c r="N29" s="210">
        <f t="shared" si="6"/>
        <v>2151.0150000000003</v>
      </c>
      <c r="O29" s="10">
        <f t="shared" si="7"/>
        <v>14436.68</v>
      </c>
      <c r="P29" s="104"/>
      <c r="Q29" s="48">
        <v>10696</v>
      </c>
      <c r="R29" s="25"/>
      <c r="S29" s="25"/>
      <c r="T29" s="25"/>
      <c r="U29" s="25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25"/>
      <c r="AO29" s="25"/>
      <c r="AP29" s="49"/>
      <c r="AQ29" s="49"/>
      <c r="AR29" s="49"/>
      <c r="AS29" s="25">
        <v>2100.68</v>
      </c>
      <c r="AT29" s="25"/>
      <c r="AU29" s="25">
        <v>1640</v>
      </c>
      <c r="AV29" s="128">
        <f>AV17+I17+J17-K17-L17-M17-N17-O17</f>
        <v>-95758.14699999994</v>
      </c>
    </row>
    <row r="30" spans="2:65" s="4" customFormat="1" ht="14.25" thickBot="1" thickTop="1">
      <c r="B30" s="148">
        <v>3</v>
      </c>
      <c r="C30" s="28" t="s">
        <v>16</v>
      </c>
      <c r="D30" s="29">
        <v>20</v>
      </c>
      <c r="E30" s="143" t="s">
        <v>45</v>
      </c>
      <c r="F30" s="77">
        <v>3109.1</v>
      </c>
      <c r="G30" s="50"/>
      <c r="H30" s="69">
        <v>230062.04000000004</v>
      </c>
      <c r="I30" s="69">
        <v>223105.60999999996</v>
      </c>
      <c r="J30" s="69">
        <f>SUM(J31:J42)</f>
        <v>0</v>
      </c>
      <c r="K30" s="211">
        <f>SUM(K31:K42)</f>
        <v>11332.86</v>
      </c>
      <c r="L30" s="211">
        <f>SUM(L31:L42)</f>
        <v>10091.4</v>
      </c>
      <c r="M30" s="211">
        <f>SUM(M31:M42)</f>
        <v>9477.48</v>
      </c>
      <c r="N30" s="215">
        <f>SUM(N31:N42)</f>
        <v>11155.280500000003</v>
      </c>
      <c r="O30" s="16">
        <f>SUM(Q30:AU30)</f>
        <v>167496.5</v>
      </c>
      <c r="P30" s="99"/>
      <c r="Q30" s="11">
        <f>SUM(Q31:Q42)</f>
        <v>125012</v>
      </c>
      <c r="R30" s="11">
        <f>SUM(R31:R42)</f>
        <v>0</v>
      </c>
      <c r="S30" s="11">
        <f>SUM(S31:S42)</f>
        <v>1680</v>
      </c>
      <c r="T30" s="11">
        <f>SUM(T31:T42)</f>
        <v>298</v>
      </c>
      <c r="U30" s="11">
        <f>SUM(U31:U42)</f>
        <v>0</v>
      </c>
      <c r="V30" s="50">
        <f aca="true" t="shared" si="8" ref="V30:AM30">SUM(V31:V42)</f>
        <v>0</v>
      </c>
      <c r="W30" s="50">
        <f t="shared" si="8"/>
        <v>1865</v>
      </c>
      <c r="X30" s="50">
        <f t="shared" si="8"/>
        <v>541</v>
      </c>
      <c r="Y30" s="50">
        <f t="shared" si="8"/>
        <v>0</v>
      </c>
      <c r="Z30" s="50">
        <f>SUM(Z31:Z42)</f>
        <v>0</v>
      </c>
      <c r="AA30" s="50">
        <f>SUM(AA31:AA42)</f>
        <v>0</v>
      </c>
      <c r="AB30" s="50">
        <f t="shared" si="8"/>
        <v>0</v>
      </c>
      <c r="AC30" s="50">
        <f t="shared" si="8"/>
        <v>4408</v>
      </c>
      <c r="AD30" s="50">
        <f t="shared" si="8"/>
        <v>16452</v>
      </c>
      <c r="AE30" s="50">
        <f t="shared" si="8"/>
        <v>0</v>
      </c>
      <c r="AF30" s="50">
        <f t="shared" si="8"/>
        <v>0</v>
      </c>
      <c r="AG30" s="50">
        <f t="shared" si="8"/>
        <v>0</v>
      </c>
      <c r="AH30" s="50">
        <f t="shared" si="8"/>
        <v>0</v>
      </c>
      <c r="AI30" s="50">
        <f>SUM(AI31:AI42)</f>
        <v>0</v>
      </c>
      <c r="AJ30" s="50">
        <f>SUM(AJ31:AJ42)</f>
        <v>0</v>
      </c>
      <c r="AK30" s="50">
        <f>SUM(AK31:AK42)</f>
        <v>0</v>
      </c>
      <c r="AL30" s="50">
        <f>SUM(AL31:AL42)</f>
        <v>0</v>
      </c>
      <c r="AM30" s="50">
        <f t="shared" si="8"/>
        <v>0</v>
      </c>
      <c r="AN30" s="11">
        <f aca="true" t="shared" si="9" ref="AN30:AU30">SUM(AN31:AN42)</f>
        <v>0</v>
      </c>
      <c r="AO30" s="11">
        <f t="shared" si="9"/>
        <v>0</v>
      </c>
      <c r="AP30" s="11">
        <f t="shared" si="9"/>
        <v>0</v>
      </c>
      <c r="AQ30" s="11">
        <f>SUM(AQ31:AQ42)</f>
        <v>999.6</v>
      </c>
      <c r="AR30" s="11">
        <f>SUM(AR31:AR42)</f>
        <v>0</v>
      </c>
      <c r="AS30" s="11">
        <f t="shared" si="9"/>
        <v>11190.900000000001</v>
      </c>
      <c r="AT30" s="11">
        <f t="shared" si="9"/>
        <v>0</v>
      </c>
      <c r="AU30" s="11">
        <f t="shared" si="9"/>
        <v>5050</v>
      </c>
      <c r="AV30" s="127">
        <v>-11109.86</v>
      </c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2:48" ht="13.5" thickTop="1">
      <c r="B31" s="149">
        <v>3</v>
      </c>
      <c r="C31" s="30" t="s">
        <v>68</v>
      </c>
      <c r="D31" s="31"/>
      <c r="E31" s="124"/>
      <c r="F31" s="85"/>
      <c r="G31" s="9" t="s">
        <v>3</v>
      </c>
      <c r="H31" s="41">
        <v>18093.21</v>
      </c>
      <c r="I31" s="19">
        <v>10058.54</v>
      </c>
      <c r="J31" s="41"/>
      <c r="K31" s="212">
        <v>11332.86</v>
      </c>
      <c r="L31" s="212">
        <v>10091.4</v>
      </c>
      <c r="M31" s="212">
        <v>9477.48</v>
      </c>
      <c r="N31" s="210">
        <f aca="true" t="shared" si="10" ref="N31:N42">I31*0.05</f>
        <v>502.9270000000001</v>
      </c>
      <c r="O31" s="10">
        <f>SUM(Q31:AU31)</f>
        <v>15039.55</v>
      </c>
      <c r="P31" s="106" t="s">
        <v>216</v>
      </c>
      <c r="Q31" s="39">
        <v>13701</v>
      </c>
      <c r="R31" s="23"/>
      <c r="S31" s="23">
        <v>298</v>
      </c>
      <c r="T31" s="23"/>
      <c r="U31" s="23"/>
      <c r="V31" s="39"/>
      <c r="W31" s="39"/>
      <c r="X31" s="39"/>
      <c r="Y31" s="39"/>
      <c r="Z31" s="39"/>
      <c r="AA31" s="39"/>
      <c r="AB31" s="39"/>
      <c r="AC31" s="39"/>
      <c r="AD31" s="39">
        <v>139</v>
      </c>
      <c r="AE31" s="39"/>
      <c r="AF31" s="39"/>
      <c r="AG31" s="39"/>
      <c r="AH31" s="39"/>
      <c r="AI31" s="39"/>
      <c r="AJ31" s="39"/>
      <c r="AK31" s="39"/>
      <c r="AL31" s="39"/>
      <c r="AM31" s="39"/>
      <c r="AN31" s="23"/>
      <c r="AO31" s="23"/>
      <c r="AP31" s="23"/>
      <c r="AQ31" s="23"/>
      <c r="AR31" s="23"/>
      <c r="AS31" s="23">
        <v>901.55</v>
      </c>
      <c r="AT31" s="23"/>
      <c r="AU31" s="23"/>
      <c r="AV31" s="23"/>
    </row>
    <row r="32" spans="2:48" ht="12.75">
      <c r="B32" s="58">
        <v>3</v>
      </c>
      <c r="C32" s="37"/>
      <c r="D32" s="33"/>
      <c r="E32" s="88"/>
      <c r="F32" s="86"/>
      <c r="G32" s="8" t="s">
        <v>4</v>
      </c>
      <c r="H32" s="42">
        <v>18093.21</v>
      </c>
      <c r="I32" s="20">
        <v>13986.92</v>
      </c>
      <c r="J32" s="42"/>
      <c r="K32" s="213"/>
      <c r="L32" s="213"/>
      <c r="M32" s="213"/>
      <c r="N32" s="210">
        <f t="shared" si="10"/>
        <v>699.346</v>
      </c>
      <c r="O32" s="10">
        <f aca="true" t="shared" si="11" ref="O32:O42">SUM(Q32:AU32)</f>
        <v>15012.55</v>
      </c>
      <c r="P32" s="101" t="s">
        <v>215</v>
      </c>
      <c r="Q32" s="48">
        <v>13701</v>
      </c>
      <c r="R32" s="24"/>
      <c r="S32" s="24"/>
      <c r="T32" s="24"/>
      <c r="U32" s="24"/>
      <c r="V32" s="48"/>
      <c r="W32" s="48"/>
      <c r="X32" s="48"/>
      <c r="Y32" s="48"/>
      <c r="Z32" s="48"/>
      <c r="AA32" s="48"/>
      <c r="AB32" s="48"/>
      <c r="AC32" s="48"/>
      <c r="AD32" s="48">
        <v>410</v>
      </c>
      <c r="AE32" s="48"/>
      <c r="AF32" s="48"/>
      <c r="AG32" s="48"/>
      <c r="AH32" s="48"/>
      <c r="AI32" s="48"/>
      <c r="AJ32" s="48"/>
      <c r="AK32" s="48"/>
      <c r="AL32" s="48"/>
      <c r="AM32" s="48"/>
      <c r="AN32" s="24"/>
      <c r="AO32" s="24"/>
      <c r="AP32" s="24"/>
      <c r="AQ32" s="24"/>
      <c r="AR32" s="24"/>
      <c r="AS32" s="24">
        <v>901.55</v>
      </c>
      <c r="AT32" s="23"/>
      <c r="AU32" s="24"/>
      <c r="AV32" s="24"/>
    </row>
    <row r="33" spans="2:48" ht="12.75">
      <c r="B33" s="58">
        <v>3</v>
      </c>
      <c r="C33" s="37"/>
      <c r="D33" s="33"/>
      <c r="E33" s="88"/>
      <c r="F33" s="86"/>
      <c r="G33" s="8" t="s">
        <v>5</v>
      </c>
      <c r="H33" s="42">
        <v>18093.21</v>
      </c>
      <c r="I33" s="20">
        <v>17878.41</v>
      </c>
      <c r="J33" s="42"/>
      <c r="K33" s="213"/>
      <c r="L33" s="213"/>
      <c r="M33" s="213"/>
      <c r="N33" s="210">
        <f t="shared" si="10"/>
        <v>893.9205000000001</v>
      </c>
      <c r="O33" s="10">
        <f t="shared" si="11"/>
        <v>15556.55</v>
      </c>
      <c r="P33" s="102" t="s">
        <v>198</v>
      </c>
      <c r="Q33" s="48">
        <v>13701</v>
      </c>
      <c r="R33" s="24"/>
      <c r="S33" s="48">
        <v>954</v>
      </c>
      <c r="T33" s="24"/>
      <c r="U33" s="24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24"/>
      <c r="AO33" s="24"/>
      <c r="AP33" s="24"/>
      <c r="AQ33" s="24"/>
      <c r="AR33" s="24"/>
      <c r="AS33" s="24">
        <v>901.55</v>
      </c>
      <c r="AT33" s="23"/>
      <c r="AU33" s="23"/>
      <c r="AV33" s="24"/>
    </row>
    <row r="34" spans="2:48" ht="12.75">
      <c r="B34" s="58">
        <v>3</v>
      </c>
      <c r="C34" s="37"/>
      <c r="D34" s="33"/>
      <c r="E34" s="88"/>
      <c r="F34" s="86"/>
      <c r="G34" s="8" t="s">
        <v>6</v>
      </c>
      <c r="H34" s="42">
        <v>18093.21</v>
      </c>
      <c r="I34" s="20">
        <v>17977.4</v>
      </c>
      <c r="J34" s="42"/>
      <c r="K34" s="213"/>
      <c r="L34" s="213"/>
      <c r="M34" s="213"/>
      <c r="N34" s="210">
        <f t="shared" si="10"/>
        <v>898.8700000000001</v>
      </c>
      <c r="O34" s="10">
        <f t="shared" si="11"/>
        <v>12602.55</v>
      </c>
      <c r="P34" s="101"/>
      <c r="Q34" s="45">
        <v>10464</v>
      </c>
      <c r="R34" s="24"/>
      <c r="S34" s="24"/>
      <c r="T34" s="24"/>
      <c r="U34" s="24"/>
      <c r="V34" s="48"/>
      <c r="W34" s="48"/>
      <c r="X34" s="48"/>
      <c r="Y34" s="48"/>
      <c r="Z34" s="48"/>
      <c r="AA34" s="48"/>
      <c r="AB34" s="48"/>
      <c r="AC34" s="48"/>
      <c r="AD34" s="48">
        <v>62</v>
      </c>
      <c r="AE34" s="48"/>
      <c r="AF34" s="48"/>
      <c r="AG34" s="48"/>
      <c r="AH34" s="48"/>
      <c r="AI34" s="48"/>
      <c r="AJ34" s="48"/>
      <c r="AK34" s="48"/>
      <c r="AL34" s="48"/>
      <c r="AM34" s="48"/>
      <c r="AN34" s="24"/>
      <c r="AO34" s="24"/>
      <c r="AP34" s="24"/>
      <c r="AQ34" s="24"/>
      <c r="AR34" s="24"/>
      <c r="AS34" s="24">
        <v>901.55</v>
      </c>
      <c r="AT34" s="24"/>
      <c r="AU34" s="24">
        <v>1175</v>
      </c>
      <c r="AV34" s="24"/>
    </row>
    <row r="35" spans="2:48" ht="12.75">
      <c r="B35" s="58">
        <v>3</v>
      </c>
      <c r="C35" s="37"/>
      <c r="D35" s="33"/>
      <c r="E35" s="88"/>
      <c r="F35" s="86"/>
      <c r="G35" s="8" t="s">
        <v>7</v>
      </c>
      <c r="H35" s="42">
        <v>18090.88</v>
      </c>
      <c r="I35" s="20">
        <v>10557.74</v>
      </c>
      <c r="J35" s="42"/>
      <c r="K35" s="213"/>
      <c r="L35" s="213"/>
      <c r="M35" s="213"/>
      <c r="N35" s="210">
        <f t="shared" si="10"/>
        <v>527.8870000000001</v>
      </c>
      <c r="O35" s="10">
        <f t="shared" si="11"/>
        <v>26766.55</v>
      </c>
      <c r="P35" s="101" t="s">
        <v>237</v>
      </c>
      <c r="Q35" s="48">
        <v>9079</v>
      </c>
      <c r="R35" s="24"/>
      <c r="S35" s="48"/>
      <c r="T35" s="24"/>
      <c r="U35" s="24"/>
      <c r="V35" s="48"/>
      <c r="W35" s="48">
        <v>1865</v>
      </c>
      <c r="X35" s="48"/>
      <c r="Y35" s="48"/>
      <c r="Z35" s="48"/>
      <c r="AA35" s="48"/>
      <c r="AB35" s="48"/>
      <c r="AC35" s="48"/>
      <c r="AD35" s="48">
        <f>3470+11451</f>
        <v>14921</v>
      </c>
      <c r="AE35" s="48"/>
      <c r="AF35" s="48"/>
      <c r="AG35" s="48"/>
      <c r="AH35" s="48"/>
      <c r="AI35" s="48"/>
      <c r="AJ35" s="48"/>
      <c r="AK35" s="48"/>
      <c r="AL35" s="48"/>
      <c r="AM35" s="48"/>
      <c r="AN35" s="24"/>
      <c r="AO35" s="24"/>
      <c r="AP35" s="24"/>
      <c r="AQ35" s="24"/>
      <c r="AR35" s="24"/>
      <c r="AS35" s="24">
        <v>901.55</v>
      </c>
      <c r="AT35" s="23"/>
      <c r="AU35" s="24"/>
      <c r="AV35" s="24"/>
    </row>
    <row r="36" spans="2:48" ht="12.75">
      <c r="B36" s="58">
        <v>3</v>
      </c>
      <c r="C36" s="37"/>
      <c r="D36" s="33"/>
      <c r="E36" s="88"/>
      <c r="F36" s="86"/>
      <c r="G36" s="8" t="s">
        <v>8</v>
      </c>
      <c r="H36" s="42">
        <v>18090.88</v>
      </c>
      <c r="I36" s="20">
        <v>36033.52</v>
      </c>
      <c r="J36" s="42"/>
      <c r="K36" s="213"/>
      <c r="L36" s="213"/>
      <c r="M36" s="213"/>
      <c r="N36" s="210">
        <f t="shared" si="10"/>
        <v>1801.676</v>
      </c>
      <c r="O36" s="10">
        <f t="shared" si="11"/>
        <v>11628.55</v>
      </c>
      <c r="P36" s="101" t="s">
        <v>214</v>
      </c>
      <c r="Q36" s="48">
        <v>9079</v>
      </c>
      <c r="R36" s="24"/>
      <c r="S36" s="24"/>
      <c r="T36" s="24">
        <v>298</v>
      </c>
      <c r="U36" s="24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24"/>
      <c r="AO36" s="24"/>
      <c r="AP36" s="24"/>
      <c r="AQ36" s="24"/>
      <c r="AR36" s="24"/>
      <c r="AS36" s="24">
        <v>901.55</v>
      </c>
      <c r="AT36" s="24"/>
      <c r="AU36" s="24">
        <v>1350</v>
      </c>
      <c r="AV36" s="24"/>
    </row>
    <row r="37" spans="2:48" ht="12.75">
      <c r="B37" s="58">
        <v>3</v>
      </c>
      <c r="C37" s="37"/>
      <c r="D37" s="33"/>
      <c r="E37" s="88"/>
      <c r="F37" s="86"/>
      <c r="G37" s="8" t="s">
        <v>9</v>
      </c>
      <c r="H37" s="42">
        <v>20235.72</v>
      </c>
      <c r="I37" s="20">
        <v>17335.75</v>
      </c>
      <c r="J37" s="42"/>
      <c r="K37" s="213"/>
      <c r="L37" s="213"/>
      <c r="M37" s="213"/>
      <c r="N37" s="210">
        <f t="shared" si="10"/>
        <v>866.7875</v>
      </c>
      <c r="O37" s="10">
        <f t="shared" si="11"/>
        <v>10042.6</v>
      </c>
      <c r="P37" s="181"/>
      <c r="Q37" s="48">
        <v>9079</v>
      </c>
      <c r="R37" s="24"/>
      <c r="S37" s="48"/>
      <c r="T37" s="24"/>
      <c r="U37" s="24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24"/>
      <c r="AO37" s="24"/>
      <c r="AP37" s="24"/>
      <c r="AQ37" s="24"/>
      <c r="AR37" s="24"/>
      <c r="AS37" s="24">
        <v>963.6</v>
      </c>
      <c r="AT37" s="24"/>
      <c r="AU37" s="24"/>
      <c r="AV37" s="24"/>
    </row>
    <row r="38" spans="2:48" ht="12.75">
      <c r="B38" s="58">
        <v>3</v>
      </c>
      <c r="C38" s="37"/>
      <c r="D38" s="33"/>
      <c r="E38" s="88"/>
      <c r="F38" s="86"/>
      <c r="G38" s="8" t="s">
        <v>10</v>
      </c>
      <c r="H38" s="42">
        <v>20235.72</v>
      </c>
      <c r="I38" s="20">
        <v>23059.88</v>
      </c>
      <c r="J38" s="42"/>
      <c r="K38" s="213"/>
      <c r="L38" s="213"/>
      <c r="M38" s="213"/>
      <c r="N38" s="210">
        <f t="shared" si="10"/>
        <v>1152.9940000000001</v>
      </c>
      <c r="O38" s="10">
        <f t="shared" si="11"/>
        <v>10042.6</v>
      </c>
      <c r="P38" s="181"/>
      <c r="Q38" s="48">
        <v>9079</v>
      </c>
      <c r="R38" s="24"/>
      <c r="S38" s="48"/>
      <c r="T38" s="24"/>
      <c r="U38" s="24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24"/>
      <c r="AO38" s="24"/>
      <c r="AP38" s="24"/>
      <c r="AQ38" s="24"/>
      <c r="AR38" s="24"/>
      <c r="AS38" s="24">
        <v>963.6</v>
      </c>
      <c r="AT38" s="24"/>
      <c r="AU38" s="24"/>
      <c r="AV38" s="24"/>
    </row>
    <row r="39" spans="2:48" ht="12.75">
      <c r="B39" s="58">
        <v>3</v>
      </c>
      <c r="C39" s="37"/>
      <c r="D39" s="33"/>
      <c r="E39" s="88"/>
      <c r="F39" s="86"/>
      <c r="G39" s="8" t="s">
        <v>11</v>
      </c>
      <c r="H39" s="42">
        <v>20235.72</v>
      </c>
      <c r="I39" s="20">
        <v>12539.14</v>
      </c>
      <c r="J39" s="42"/>
      <c r="K39" s="213"/>
      <c r="L39" s="213"/>
      <c r="M39" s="213"/>
      <c r="N39" s="210">
        <f t="shared" si="10"/>
        <v>626.957</v>
      </c>
      <c r="O39" s="10">
        <f t="shared" si="11"/>
        <v>12217.2</v>
      </c>
      <c r="P39" s="101" t="s">
        <v>373</v>
      </c>
      <c r="Q39" s="48">
        <v>9079</v>
      </c>
      <c r="R39" s="24"/>
      <c r="S39" s="24"/>
      <c r="T39" s="24"/>
      <c r="U39" s="24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24"/>
      <c r="AO39" s="24"/>
      <c r="AP39" s="24"/>
      <c r="AQ39" s="24">
        <v>999.6</v>
      </c>
      <c r="AR39" s="24"/>
      <c r="AS39" s="24">
        <v>963.6</v>
      </c>
      <c r="AT39" s="24"/>
      <c r="AU39" s="24">
        <v>1175</v>
      </c>
      <c r="AV39" s="24"/>
    </row>
    <row r="40" spans="2:48" ht="12.75">
      <c r="B40" s="58">
        <v>3</v>
      </c>
      <c r="C40" s="37"/>
      <c r="D40" s="33"/>
      <c r="E40" s="88"/>
      <c r="F40" s="86"/>
      <c r="G40" s="8" t="s">
        <v>12</v>
      </c>
      <c r="H40" s="42">
        <v>20266.76</v>
      </c>
      <c r="I40" s="20">
        <v>23017.77</v>
      </c>
      <c r="J40" s="42"/>
      <c r="K40" s="213"/>
      <c r="L40" s="213"/>
      <c r="M40" s="213"/>
      <c r="N40" s="210">
        <f t="shared" si="10"/>
        <v>1150.8885</v>
      </c>
      <c r="O40" s="10">
        <f t="shared" si="11"/>
        <v>11931.6</v>
      </c>
      <c r="P40" s="101" t="s">
        <v>332</v>
      </c>
      <c r="Q40" s="24">
        <v>9079</v>
      </c>
      <c r="R40" s="24"/>
      <c r="S40" s="24">
        <v>428</v>
      </c>
      <c r="T40" s="24"/>
      <c r="U40" s="24"/>
      <c r="V40" s="48"/>
      <c r="W40" s="48"/>
      <c r="X40" s="48">
        <v>541</v>
      </c>
      <c r="Y40" s="48"/>
      <c r="Z40" s="48"/>
      <c r="AA40" s="48"/>
      <c r="AB40" s="48"/>
      <c r="AC40" s="48"/>
      <c r="AD40" s="48">
        <v>920</v>
      </c>
      <c r="AE40" s="48"/>
      <c r="AF40" s="48"/>
      <c r="AG40" s="48"/>
      <c r="AH40" s="48"/>
      <c r="AI40" s="48"/>
      <c r="AJ40" s="48"/>
      <c r="AK40" s="48"/>
      <c r="AL40" s="48"/>
      <c r="AM40" s="48"/>
      <c r="AN40" s="24"/>
      <c r="AO40" s="24"/>
      <c r="AP40" s="24"/>
      <c r="AQ40" s="24"/>
      <c r="AR40" s="24"/>
      <c r="AS40" s="24">
        <v>963.6</v>
      </c>
      <c r="AT40" s="24"/>
      <c r="AU40" s="24"/>
      <c r="AV40" s="24"/>
    </row>
    <row r="41" spans="2:48" ht="12.75">
      <c r="B41" s="58">
        <v>3</v>
      </c>
      <c r="C41" s="37"/>
      <c r="D41" s="33"/>
      <c r="E41" s="88"/>
      <c r="F41" s="86"/>
      <c r="G41" s="8" t="s">
        <v>13</v>
      </c>
      <c r="H41" s="42">
        <v>20266.76</v>
      </c>
      <c r="I41" s="20">
        <v>16690.02</v>
      </c>
      <c r="J41" s="42"/>
      <c r="K41" s="213"/>
      <c r="L41" s="213"/>
      <c r="M41" s="213"/>
      <c r="N41" s="210">
        <f t="shared" si="10"/>
        <v>834.5010000000001</v>
      </c>
      <c r="O41" s="10">
        <f t="shared" si="11"/>
        <v>10042.6</v>
      </c>
      <c r="P41" s="101"/>
      <c r="Q41" s="24">
        <v>9079</v>
      </c>
      <c r="R41" s="24"/>
      <c r="S41" s="24"/>
      <c r="T41" s="24"/>
      <c r="U41" s="24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24"/>
      <c r="AO41" s="24"/>
      <c r="AP41" s="24"/>
      <c r="AQ41" s="24"/>
      <c r="AR41" s="24"/>
      <c r="AS41" s="24">
        <v>963.6</v>
      </c>
      <c r="AT41" s="24"/>
      <c r="AU41" s="24"/>
      <c r="AV41" s="24"/>
    </row>
    <row r="42" spans="2:48" ht="13.5" thickBot="1">
      <c r="B42" s="150">
        <v>3</v>
      </c>
      <c r="C42" s="38"/>
      <c r="D42" s="35"/>
      <c r="E42" s="125"/>
      <c r="F42" s="87"/>
      <c r="G42" s="12" t="s">
        <v>14</v>
      </c>
      <c r="H42" s="43">
        <v>20266.76</v>
      </c>
      <c r="I42" s="21">
        <v>23970.52</v>
      </c>
      <c r="J42" s="43"/>
      <c r="K42" s="214"/>
      <c r="L42" s="214"/>
      <c r="M42" s="214"/>
      <c r="N42" s="210">
        <f t="shared" si="10"/>
        <v>1198.526</v>
      </c>
      <c r="O42" s="10">
        <f t="shared" si="11"/>
        <v>16613.6</v>
      </c>
      <c r="P42" s="104"/>
      <c r="Q42" s="24">
        <v>9892</v>
      </c>
      <c r="R42" s="25"/>
      <c r="S42" s="25"/>
      <c r="T42" s="25"/>
      <c r="U42" s="25"/>
      <c r="V42" s="49"/>
      <c r="W42" s="49"/>
      <c r="X42" s="49"/>
      <c r="Y42" s="49"/>
      <c r="Z42" s="49"/>
      <c r="AA42" s="49"/>
      <c r="AB42" s="49"/>
      <c r="AC42" s="49">
        <v>4408</v>
      </c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25"/>
      <c r="AO42" s="25"/>
      <c r="AP42" s="25"/>
      <c r="AQ42" s="25"/>
      <c r="AR42" s="25"/>
      <c r="AS42" s="25">
        <v>963.6</v>
      </c>
      <c r="AT42" s="25"/>
      <c r="AU42" s="25">
        <v>1350</v>
      </c>
      <c r="AV42" s="128">
        <f>AV30+I30+J30-K30-L30-M30-N30-O30</f>
        <v>2442.2294999999576</v>
      </c>
    </row>
    <row r="43" spans="2:65" s="4" customFormat="1" ht="14.25" thickBot="1" thickTop="1">
      <c r="B43" s="148">
        <v>4</v>
      </c>
      <c r="C43" s="28" t="s">
        <v>17</v>
      </c>
      <c r="D43" s="29">
        <v>31</v>
      </c>
      <c r="E43" s="141" t="s">
        <v>45</v>
      </c>
      <c r="F43" s="84">
        <v>4304</v>
      </c>
      <c r="G43" s="50"/>
      <c r="H43" s="69">
        <v>245989.38</v>
      </c>
      <c r="I43" s="69">
        <v>224207.43</v>
      </c>
      <c r="J43" s="69">
        <f>SUM(J44:J55)</f>
        <v>0</v>
      </c>
      <c r="K43" s="211">
        <f>SUM(K44:K55)</f>
        <v>17047.25</v>
      </c>
      <c r="L43" s="211">
        <f>SUM(L44:L55)</f>
        <v>15829.55</v>
      </c>
      <c r="M43" s="211">
        <f>SUM(M44:M55)</f>
        <v>9584.8</v>
      </c>
      <c r="N43" s="215">
        <f>SUM(N44:N55)</f>
        <v>11210.371500000001</v>
      </c>
      <c r="O43" s="16">
        <f>SUM(Q43:AU43)</f>
        <v>211839.56</v>
      </c>
      <c r="P43" s="99"/>
      <c r="Q43" s="11">
        <f>SUM(Q44:Q55)</f>
        <v>152531</v>
      </c>
      <c r="R43" s="11">
        <f>SUM(R44:R55)</f>
        <v>0</v>
      </c>
      <c r="S43" s="11">
        <f>SUM(S44:S55)</f>
        <v>0</v>
      </c>
      <c r="T43" s="11">
        <f>SUM(T44:T55)</f>
        <v>0</v>
      </c>
      <c r="U43" s="11">
        <f>SUM(U44:U55)</f>
        <v>0</v>
      </c>
      <c r="V43" s="50">
        <f aca="true" t="shared" si="12" ref="V43:AM43">SUM(V44:V55)</f>
        <v>5053</v>
      </c>
      <c r="W43" s="50">
        <f t="shared" si="12"/>
        <v>2240</v>
      </c>
      <c r="X43" s="50">
        <f t="shared" si="12"/>
        <v>1642</v>
      </c>
      <c r="Y43" s="50">
        <f t="shared" si="12"/>
        <v>0</v>
      </c>
      <c r="Z43" s="50">
        <f>SUM(Z44:Z55)</f>
        <v>0</v>
      </c>
      <c r="AA43" s="50">
        <f>SUM(AA44:AA55)</f>
        <v>0</v>
      </c>
      <c r="AB43" s="50">
        <f t="shared" si="12"/>
        <v>0</v>
      </c>
      <c r="AC43" s="50">
        <f t="shared" si="12"/>
        <v>0</v>
      </c>
      <c r="AD43" s="50">
        <f t="shared" si="12"/>
        <v>4415</v>
      </c>
      <c r="AE43" s="50">
        <f t="shared" si="12"/>
        <v>22691</v>
      </c>
      <c r="AF43" s="50">
        <f t="shared" si="12"/>
        <v>0</v>
      </c>
      <c r="AG43" s="50">
        <f t="shared" si="12"/>
        <v>0</v>
      </c>
      <c r="AH43" s="50">
        <f t="shared" si="12"/>
        <v>966</v>
      </c>
      <c r="AI43" s="50">
        <f>SUM(AI44:AI55)</f>
        <v>0</v>
      </c>
      <c r="AJ43" s="50">
        <f>SUM(AJ44:AJ55)</f>
        <v>0</v>
      </c>
      <c r="AK43" s="50">
        <f>SUM(AK44:AK55)</f>
        <v>0</v>
      </c>
      <c r="AL43" s="50">
        <f>SUM(AL44:AL55)</f>
        <v>0</v>
      </c>
      <c r="AM43" s="50">
        <f t="shared" si="12"/>
        <v>0</v>
      </c>
      <c r="AN43" s="11">
        <f aca="true" t="shared" si="13" ref="AN43:AU43">SUM(AN44:AN55)</f>
        <v>0</v>
      </c>
      <c r="AO43" s="11">
        <f t="shared" si="13"/>
        <v>0</v>
      </c>
      <c r="AP43" s="11">
        <f t="shared" si="13"/>
        <v>0</v>
      </c>
      <c r="AQ43" s="11">
        <f>SUM(AQ44:AQ55)</f>
        <v>0</v>
      </c>
      <c r="AR43" s="11">
        <f>SUM(AR44:AR55)</f>
        <v>0</v>
      </c>
      <c r="AS43" s="11">
        <f t="shared" si="13"/>
        <v>15745.56</v>
      </c>
      <c r="AT43" s="11">
        <f t="shared" si="13"/>
        <v>0</v>
      </c>
      <c r="AU43" s="11">
        <f t="shared" si="13"/>
        <v>6556</v>
      </c>
      <c r="AV43" s="127">
        <v>31156.48</v>
      </c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2:48" ht="13.5" thickTop="1">
      <c r="B44" s="149">
        <v>4</v>
      </c>
      <c r="C44" s="30" t="s">
        <v>68</v>
      </c>
      <c r="D44" s="31"/>
      <c r="E44" s="124"/>
      <c r="F44" s="85"/>
      <c r="G44" s="9" t="s">
        <v>3</v>
      </c>
      <c r="H44" s="41">
        <v>16009.93</v>
      </c>
      <c r="I44" s="19">
        <v>11153.34</v>
      </c>
      <c r="J44" s="41"/>
      <c r="K44" s="212">
        <v>17047.25</v>
      </c>
      <c r="L44" s="212">
        <v>15829.55</v>
      </c>
      <c r="M44" s="212">
        <v>9584.8</v>
      </c>
      <c r="N44" s="210">
        <f aca="true" t="shared" si="14" ref="N44:N55">I44*0.05</f>
        <v>557.667</v>
      </c>
      <c r="O44" s="10">
        <f>SUM(Q44:AU44)</f>
        <v>15689.55</v>
      </c>
      <c r="P44" s="107"/>
      <c r="Q44" s="39">
        <v>14421</v>
      </c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>
        <v>1268.55</v>
      </c>
      <c r="AT44" s="39"/>
      <c r="AU44" s="39"/>
      <c r="AV44" s="23"/>
    </row>
    <row r="45" spans="2:48" ht="12.75">
      <c r="B45" s="149">
        <v>4</v>
      </c>
      <c r="C45" s="37"/>
      <c r="D45" s="33"/>
      <c r="E45" s="88"/>
      <c r="F45" s="86"/>
      <c r="G45" s="8" t="s">
        <v>4</v>
      </c>
      <c r="H45" s="42">
        <v>16009.2</v>
      </c>
      <c r="I45" s="20">
        <v>15209.68</v>
      </c>
      <c r="J45" s="42"/>
      <c r="K45" s="213"/>
      <c r="L45" s="213"/>
      <c r="M45" s="213"/>
      <c r="N45" s="210">
        <f t="shared" si="14"/>
        <v>760.484</v>
      </c>
      <c r="O45" s="10">
        <f aca="true" t="shared" si="15" ref="O45:O55">SUM(Q45:AU45)</f>
        <v>17536.55</v>
      </c>
      <c r="P45" s="98"/>
      <c r="Q45" s="48">
        <v>14421</v>
      </c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>
        <v>1847</v>
      </c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>
        <v>1268.55</v>
      </c>
      <c r="AT45" s="39"/>
      <c r="AU45" s="48"/>
      <c r="AV45" s="24"/>
    </row>
    <row r="46" spans="2:48" ht="12.75">
      <c r="B46" s="149">
        <v>4</v>
      </c>
      <c r="C46" s="37"/>
      <c r="D46" s="33"/>
      <c r="E46" s="88"/>
      <c r="F46" s="86"/>
      <c r="G46" s="8" t="s">
        <v>5</v>
      </c>
      <c r="H46" s="42">
        <v>16009.2</v>
      </c>
      <c r="I46" s="20">
        <v>16637.89</v>
      </c>
      <c r="J46" s="42"/>
      <c r="K46" s="213"/>
      <c r="L46" s="213"/>
      <c r="M46" s="213"/>
      <c r="N46" s="210">
        <f t="shared" si="14"/>
        <v>831.8945</v>
      </c>
      <c r="O46" s="10">
        <f t="shared" si="15"/>
        <v>15689.49</v>
      </c>
      <c r="P46" s="98"/>
      <c r="Q46" s="48">
        <v>14421</v>
      </c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>
        <v>1268.49</v>
      </c>
      <c r="AT46" s="39"/>
      <c r="AU46" s="39"/>
      <c r="AV46" s="24"/>
    </row>
    <row r="47" spans="2:48" ht="12.75">
      <c r="B47" s="149">
        <v>4</v>
      </c>
      <c r="C47" s="37"/>
      <c r="D47" s="33"/>
      <c r="E47" s="88"/>
      <c r="F47" s="86"/>
      <c r="G47" s="8" t="s">
        <v>6</v>
      </c>
      <c r="H47" s="42">
        <v>16016.29</v>
      </c>
      <c r="I47" s="20">
        <v>15482.59</v>
      </c>
      <c r="J47" s="42"/>
      <c r="K47" s="213"/>
      <c r="L47" s="213"/>
      <c r="M47" s="213"/>
      <c r="N47" s="210">
        <f t="shared" si="14"/>
        <v>774.1295</v>
      </c>
      <c r="O47" s="10">
        <f t="shared" si="15"/>
        <v>21811.49</v>
      </c>
      <c r="P47" s="98"/>
      <c r="Q47" s="48">
        <v>13611</v>
      </c>
      <c r="R47" s="48"/>
      <c r="S47" s="48"/>
      <c r="T47" s="48"/>
      <c r="U47" s="48"/>
      <c r="V47" s="48">
        <f>4838+215</f>
        <v>5053</v>
      </c>
      <c r="W47" s="48"/>
      <c r="X47" s="48"/>
      <c r="Y47" s="48"/>
      <c r="Z47" s="48"/>
      <c r="AA47" s="48"/>
      <c r="AB47" s="48"/>
      <c r="AC47" s="48"/>
      <c r="AD47" s="48">
        <v>313</v>
      </c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>
        <v>1268.49</v>
      </c>
      <c r="AT47" s="48"/>
      <c r="AU47" s="48">
        <v>1566</v>
      </c>
      <c r="AV47" s="24"/>
    </row>
    <row r="48" spans="2:48" ht="12.75">
      <c r="B48" s="149">
        <v>4</v>
      </c>
      <c r="C48" s="37"/>
      <c r="D48" s="33"/>
      <c r="E48" s="88"/>
      <c r="F48" s="86"/>
      <c r="G48" s="8" t="s">
        <v>7</v>
      </c>
      <c r="H48" s="42">
        <v>16009.2</v>
      </c>
      <c r="I48" s="20">
        <v>12539.7</v>
      </c>
      <c r="J48" s="42"/>
      <c r="K48" s="213"/>
      <c r="L48" s="213"/>
      <c r="M48" s="213"/>
      <c r="N48" s="210">
        <f t="shared" si="14"/>
        <v>626.9850000000001</v>
      </c>
      <c r="O48" s="10">
        <f t="shared" si="15"/>
        <v>18553.49</v>
      </c>
      <c r="P48" s="98" t="s">
        <v>255</v>
      </c>
      <c r="Q48" s="48">
        <v>12808</v>
      </c>
      <c r="R48" s="48"/>
      <c r="S48" s="48"/>
      <c r="T48" s="48"/>
      <c r="U48" s="48"/>
      <c r="V48" s="48"/>
      <c r="W48" s="48">
        <v>2240</v>
      </c>
      <c r="X48" s="48">
        <v>1180</v>
      </c>
      <c r="Y48" s="48"/>
      <c r="Z48" s="48"/>
      <c r="AA48" s="48"/>
      <c r="AB48" s="48"/>
      <c r="AC48" s="48"/>
      <c r="AD48" s="48">
        <v>91</v>
      </c>
      <c r="AE48" s="48"/>
      <c r="AF48" s="48"/>
      <c r="AG48" s="48"/>
      <c r="AH48" s="48">
        <v>966</v>
      </c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>
        <v>1268.49</v>
      </c>
      <c r="AT48" s="39"/>
      <c r="AU48" s="48"/>
      <c r="AV48" s="24"/>
    </row>
    <row r="49" spans="2:48" ht="12.75">
      <c r="B49" s="149">
        <v>4</v>
      </c>
      <c r="C49" s="37"/>
      <c r="D49" s="33"/>
      <c r="E49" s="88"/>
      <c r="F49" s="86"/>
      <c r="G49" s="8" t="s">
        <v>8</v>
      </c>
      <c r="H49" s="42">
        <v>16009.92</v>
      </c>
      <c r="I49" s="20">
        <v>19498.01</v>
      </c>
      <c r="J49" s="42"/>
      <c r="K49" s="213"/>
      <c r="L49" s="213"/>
      <c r="M49" s="213"/>
      <c r="N49" s="210">
        <f t="shared" si="14"/>
        <v>974.9005</v>
      </c>
      <c r="O49" s="10">
        <f t="shared" si="15"/>
        <v>38479.49</v>
      </c>
      <c r="P49" s="95" t="s">
        <v>283</v>
      </c>
      <c r="Q49" s="48">
        <v>12808</v>
      </c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>
        <v>22691</v>
      </c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>
        <v>1268.49</v>
      </c>
      <c r="AT49" s="48"/>
      <c r="AU49" s="48">
        <v>1712</v>
      </c>
      <c r="AV49" s="24"/>
    </row>
    <row r="50" spans="2:48" ht="12.75">
      <c r="B50" s="149">
        <v>4</v>
      </c>
      <c r="C50" s="37"/>
      <c r="D50" s="33"/>
      <c r="E50" s="88"/>
      <c r="F50" s="86"/>
      <c r="G50" s="8" t="s">
        <v>9</v>
      </c>
      <c r="H50" s="42">
        <v>17930.94</v>
      </c>
      <c r="I50" s="20">
        <v>17803.72</v>
      </c>
      <c r="J50" s="42"/>
      <c r="K50" s="213"/>
      <c r="L50" s="213"/>
      <c r="M50" s="213"/>
      <c r="N50" s="210">
        <f t="shared" si="14"/>
        <v>890.1860000000001</v>
      </c>
      <c r="O50" s="10">
        <f t="shared" si="15"/>
        <v>16055.75</v>
      </c>
      <c r="P50" s="98" t="s">
        <v>300</v>
      </c>
      <c r="Q50" s="48">
        <v>12808</v>
      </c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>
        <f>1370+522</f>
        <v>1892</v>
      </c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>
        <v>1355.75</v>
      </c>
      <c r="AT50" s="48"/>
      <c r="AU50" s="48"/>
      <c r="AV50" s="24"/>
    </row>
    <row r="51" spans="2:48" ht="12.75">
      <c r="B51" s="149">
        <v>4</v>
      </c>
      <c r="C51" s="37"/>
      <c r="D51" s="33"/>
      <c r="E51" s="88"/>
      <c r="F51" s="86"/>
      <c r="G51" s="8" t="s">
        <v>10</v>
      </c>
      <c r="H51" s="42">
        <v>17930.94</v>
      </c>
      <c r="I51" s="20">
        <v>15350.82</v>
      </c>
      <c r="J51" s="42"/>
      <c r="K51" s="213"/>
      <c r="L51" s="213"/>
      <c r="M51" s="213"/>
      <c r="N51" s="210">
        <f t="shared" si="14"/>
        <v>767.541</v>
      </c>
      <c r="O51" s="10">
        <f t="shared" si="15"/>
        <v>14163.75</v>
      </c>
      <c r="P51" s="98"/>
      <c r="Q51" s="48">
        <v>12808</v>
      </c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>
        <v>1355.75</v>
      </c>
      <c r="AT51" s="48"/>
      <c r="AU51" s="48"/>
      <c r="AV51" s="24"/>
    </row>
    <row r="52" spans="2:48" ht="12.75">
      <c r="B52" s="149">
        <v>4</v>
      </c>
      <c r="C52" s="37"/>
      <c r="D52" s="33"/>
      <c r="E52" s="88"/>
      <c r="F52" s="86"/>
      <c r="G52" s="8" t="s">
        <v>11</v>
      </c>
      <c r="H52" s="42">
        <v>17930.94</v>
      </c>
      <c r="I52" s="20">
        <v>13351.8</v>
      </c>
      <c r="J52" s="42"/>
      <c r="K52" s="213"/>
      <c r="L52" s="213"/>
      <c r="M52" s="213"/>
      <c r="N52" s="210">
        <f t="shared" si="14"/>
        <v>667.59</v>
      </c>
      <c r="O52" s="10">
        <f t="shared" si="15"/>
        <v>16463.75</v>
      </c>
      <c r="P52" s="98" t="s">
        <v>302</v>
      </c>
      <c r="Q52" s="48">
        <v>12808</v>
      </c>
      <c r="R52" s="48"/>
      <c r="S52" s="48"/>
      <c r="T52" s="48"/>
      <c r="U52" s="48"/>
      <c r="V52" s="48"/>
      <c r="W52" s="48"/>
      <c r="X52" s="48">
        <v>462</v>
      </c>
      <c r="Y52" s="48"/>
      <c r="Z52" s="48"/>
      <c r="AA52" s="48"/>
      <c r="AB52" s="48"/>
      <c r="AC52" s="48"/>
      <c r="AD52" s="48">
        <v>272</v>
      </c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>
        <v>1355.75</v>
      </c>
      <c r="AT52" s="48"/>
      <c r="AU52" s="48">
        <v>1566</v>
      </c>
      <c r="AV52" s="24"/>
    </row>
    <row r="53" spans="2:48" ht="12.75">
      <c r="B53" s="149">
        <v>4</v>
      </c>
      <c r="C53" s="37"/>
      <c r="D53" s="33"/>
      <c r="E53" s="88"/>
      <c r="F53" s="86"/>
      <c r="G53" s="8" t="s">
        <v>12</v>
      </c>
      <c r="H53" s="42">
        <v>39098.2</v>
      </c>
      <c r="I53" s="20">
        <v>34433.59</v>
      </c>
      <c r="J53" s="42"/>
      <c r="K53" s="213"/>
      <c r="L53" s="213"/>
      <c r="M53" s="213"/>
      <c r="N53" s="210">
        <f t="shared" si="14"/>
        <v>1721.6795</v>
      </c>
      <c r="O53" s="10">
        <f t="shared" si="15"/>
        <v>14163.75</v>
      </c>
      <c r="P53" s="98"/>
      <c r="Q53" s="48">
        <v>12808</v>
      </c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>
        <v>1355.75</v>
      </c>
      <c r="AT53" s="48"/>
      <c r="AU53" s="48"/>
      <c r="AV53" s="24"/>
    </row>
    <row r="54" spans="2:48" ht="12.75">
      <c r="B54" s="149">
        <v>4</v>
      </c>
      <c r="C54" s="37"/>
      <c r="D54" s="33"/>
      <c r="E54" s="88"/>
      <c r="F54" s="86"/>
      <c r="G54" s="8" t="s">
        <v>13</v>
      </c>
      <c r="H54" s="42">
        <v>28520.05</v>
      </c>
      <c r="I54" s="20">
        <v>23901.79</v>
      </c>
      <c r="J54" s="42"/>
      <c r="K54" s="213"/>
      <c r="L54" s="213"/>
      <c r="M54" s="213"/>
      <c r="N54" s="210">
        <f t="shared" si="14"/>
        <v>1195.0895</v>
      </c>
      <c r="O54" s="10">
        <f t="shared" si="15"/>
        <v>14163.75</v>
      </c>
      <c r="P54" s="98"/>
      <c r="Q54" s="48">
        <v>12808</v>
      </c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>
        <v>1355.75</v>
      </c>
      <c r="AT54" s="48"/>
      <c r="AU54" s="48"/>
      <c r="AV54" s="24"/>
    </row>
    <row r="55" spans="2:48" ht="13.5" thickBot="1">
      <c r="B55" s="150">
        <v>4</v>
      </c>
      <c r="C55" s="38"/>
      <c r="D55" s="35"/>
      <c r="E55" s="125"/>
      <c r="F55" s="87"/>
      <c r="G55" s="12" t="s">
        <v>14</v>
      </c>
      <c r="H55" s="43">
        <v>28514.57</v>
      </c>
      <c r="I55" s="21">
        <v>28844.5</v>
      </c>
      <c r="J55" s="43"/>
      <c r="K55" s="214"/>
      <c r="L55" s="214"/>
      <c r="M55" s="214"/>
      <c r="N55" s="210">
        <f t="shared" si="14"/>
        <v>1442.2250000000001</v>
      </c>
      <c r="O55" s="10">
        <f t="shared" si="15"/>
        <v>9068.75</v>
      </c>
      <c r="P55" s="96"/>
      <c r="Q55" s="49">
        <v>6001</v>
      </c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>
        <v>1355.75</v>
      </c>
      <c r="AT55" s="49"/>
      <c r="AU55" s="49">
        <v>1712</v>
      </c>
      <c r="AV55" s="128">
        <f>AV43+I43+J43-K43-L43-M43-N43-O43</f>
        <v>-10147.62149999998</v>
      </c>
    </row>
    <row r="56" spans="2:65" s="4" customFormat="1" ht="14.25" thickBot="1" thickTop="1">
      <c r="B56" s="148">
        <v>5</v>
      </c>
      <c r="C56" s="28" t="s">
        <v>17</v>
      </c>
      <c r="D56" s="29">
        <v>37</v>
      </c>
      <c r="E56" s="143" t="s">
        <v>46</v>
      </c>
      <c r="F56" s="77">
        <v>5989.2</v>
      </c>
      <c r="G56" s="50"/>
      <c r="H56" s="69">
        <v>440297.82</v>
      </c>
      <c r="I56" s="69">
        <v>456627.13000000006</v>
      </c>
      <c r="J56" s="69">
        <f>SUM(J57:J68)</f>
        <v>0</v>
      </c>
      <c r="K56" s="211">
        <f>SUM(K57:K68)</f>
        <v>24769.14</v>
      </c>
      <c r="L56" s="211">
        <f>SUM(L57:L68)</f>
        <v>21793.53</v>
      </c>
      <c r="M56" s="211">
        <f>SUM(M57:M68)</f>
        <v>20015.38</v>
      </c>
      <c r="N56" s="215">
        <f>SUM(N57:N68)</f>
        <v>22831.356500000005</v>
      </c>
      <c r="O56" s="16">
        <f>SUM(Q56:AU56)</f>
        <v>340552.51</v>
      </c>
      <c r="P56" s="99"/>
      <c r="Q56" s="11">
        <f>SUM(Q57:Q68)</f>
        <v>226010</v>
      </c>
      <c r="R56" s="11">
        <f>SUM(R57:R68)</f>
        <v>1518</v>
      </c>
      <c r="S56" s="11">
        <f>SUM(S57:S68)</f>
        <v>1898</v>
      </c>
      <c r="T56" s="11">
        <f>SUM(T57:T68)</f>
        <v>1385</v>
      </c>
      <c r="U56" s="11">
        <f>SUM(U57:U68)</f>
        <v>926</v>
      </c>
      <c r="V56" s="50">
        <f aca="true" t="shared" si="16" ref="V56:AM56">SUM(V57:V68)</f>
        <v>458</v>
      </c>
      <c r="W56" s="50">
        <f t="shared" si="16"/>
        <v>2872</v>
      </c>
      <c r="X56" s="50">
        <f t="shared" si="16"/>
        <v>541</v>
      </c>
      <c r="Y56" s="50">
        <f t="shared" si="16"/>
        <v>1696</v>
      </c>
      <c r="Z56" s="50">
        <f>SUM(Z57:Z68)</f>
        <v>0</v>
      </c>
      <c r="AA56" s="50">
        <f>SUM(AA57:AA68)</f>
        <v>48499</v>
      </c>
      <c r="AB56" s="50">
        <f t="shared" si="16"/>
        <v>0</v>
      </c>
      <c r="AC56" s="50">
        <f t="shared" si="16"/>
        <v>5521</v>
      </c>
      <c r="AD56" s="50">
        <f t="shared" si="16"/>
        <v>17267</v>
      </c>
      <c r="AE56" s="50">
        <f t="shared" si="16"/>
        <v>0</v>
      </c>
      <c r="AF56" s="50">
        <f t="shared" si="16"/>
        <v>0</v>
      </c>
      <c r="AG56" s="50">
        <f t="shared" si="16"/>
        <v>616</v>
      </c>
      <c r="AH56" s="50">
        <f t="shared" si="16"/>
        <v>0</v>
      </c>
      <c r="AI56" s="50">
        <f>SUM(AI57:AI68)</f>
        <v>0</v>
      </c>
      <c r="AJ56" s="50">
        <f>SUM(AJ57:AJ68)</f>
        <v>0</v>
      </c>
      <c r="AK56" s="50">
        <f>SUM(AK57:AK68)</f>
        <v>0</v>
      </c>
      <c r="AL56" s="50">
        <f>SUM(AL57:AL68)</f>
        <v>0</v>
      </c>
      <c r="AM56" s="50">
        <f t="shared" si="16"/>
        <v>0</v>
      </c>
      <c r="AN56" s="11">
        <f aca="true" t="shared" si="17" ref="AN56:AU56">SUM(AN57:AN68)</f>
        <v>0</v>
      </c>
      <c r="AO56" s="11">
        <f t="shared" si="17"/>
        <v>0</v>
      </c>
      <c r="AP56" s="11">
        <f t="shared" si="17"/>
        <v>0</v>
      </c>
      <c r="AQ56" s="11">
        <f>SUM(AQ57:AQ68)</f>
        <v>999.6</v>
      </c>
      <c r="AR56" s="11">
        <f>SUM(AR57:AR68)</f>
        <v>0</v>
      </c>
      <c r="AS56" s="11">
        <f t="shared" si="17"/>
        <v>21357.910000000003</v>
      </c>
      <c r="AT56" s="11">
        <f t="shared" si="17"/>
        <v>0</v>
      </c>
      <c r="AU56" s="11">
        <f t="shared" si="17"/>
        <v>8988</v>
      </c>
      <c r="AV56" s="127">
        <v>35571.11</v>
      </c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2:48" ht="13.5" thickTop="1">
      <c r="B57" s="149">
        <v>5</v>
      </c>
      <c r="C57" s="30" t="s">
        <v>68</v>
      </c>
      <c r="D57" s="31"/>
      <c r="E57" s="89"/>
      <c r="F57" s="85"/>
      <c r="G57" s="9" t="s">
        <v>3</v>
      </c>
      <c r="H57" s="41">
        <v>34612.13</v>
      </c>
      <c r="I57" s="19">
        <v>25580.92</v>
      </c>
      <c r="J57" s="41"/>
      <c r="K57" s="212">
        <v>24769.14</v>
      </c>
      <c r="L57" s="212">
        <v>21793.53</v>
      </c>
      <c r="M57" s="212">
        <v>20015.38</v>
      </c>
      <c r="N57" s="210">
        <f aca="true" t="shared" si="18" ref="N57:N68">I57*0.05</f>
        <v>1279.046</v>
      </c>
      <c r="O57" s="10">
        <f>SUM(Q57:AU57)</f>
        <v>28579.16</v>
      </c>
      <c r="P57" s="106" t="s">
        <v>168</v>
      </c>
      <c r="Q57" s="23">
        <v>23560</v>
      </c>
      <c r="R57" s="23"/>
      <c r="S57" s="23"/>
      <c r="T57" s="23"/>
      <c r="U57" s="23"/>
      <c r="V57" s="39"/>
      <c r="W57" s="39"/>
      <c r="X57" s="39"/>
      <c r="Y57" s="39"/>
      <c r="Z57" s="39"/>
      <c r="AA57" s="39"/>
      <c r="AB57" s="39"/>
      <c r="AC57" s="39"/>
      <c r="AD57" s="39">
        <v>3299</v>
      </c>
      <c r="AE57" s="39"/>
      <c r="AF57" s="39"/>
      <c r="AG57" s="39"/>
      <c r="AH57" s="39"/>
      <c r="AI57" s="39"/>
      <c r="AJ57" s="39"/>
      <c r="AK57" s="39"/>
      <c r="AL57" s="39"/>
      <c r="AM57" s="39"/>
      <c r="AN57" s="23"/>
      <c r="AO57" s="23"/>
      <c r="AP57" s="23"/>
      <c r="AQ57" s="23"/>
      <c r="AR57" s="23"/>
      <c r="AS57" s="23">
        <v>1720.16</v>
      </c>
      <c r="AT57" s="23"/>
      <c r="AU57" s="23"/>
      <c r="AV57" s="23"/>
    </row>
    <row r="58" spans="2:48" ht="12.75">
      <c r="B58" s="149">
        <v>5</v>
      </c>
      <c r="C58" s="37"/>
      <c r="D58" s="33"/>
      <c r="E58" s="90"/>
      <c r="F58" s="86"/>
      <c r="G58" s="8" t="s">
        <v>4</v>
      </c>
      <c r="H58" s="42">
        <v>34613.3</v>
      </c>
      <c r="I58" s="20">
        <v>31632.02</v>
      </c>
      <c r="J58" s="42"/>
      <c r="K58" s="213"/>
      <c r="L58" s="213"/>
      <c r="M58" s="213"/>
      <c r="N58" s="210">
        <f t="shared" si="18"/>
        <v>1581.601</v>
      </c>
      <c r="O58" s="10">
        <f aca="true" t="shared" si="19" ref="O58:O68">SUM(Q58:AU58)</f>
        <v>25280.16</v>
      </c>
      <c r="P58" s="102"/>
      <c r="Q58" s="24">
        <v>23560</v>
      </c>
      <c r="R58" s="24"/>
      <c r="S58" s="45"/>
      <c r="T58" s="24"/>
      <c r="U58" s="24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24"/>
      <c r="AO58" s="24"/>
      <c r="AP58" s="24"/>
      <c r="AQ58" s="24"/>
      <c r="AR58" s="24"/>
      <c r="AS58" s="24">
        <v>1720.16</v>
      </c>
      <c r="AT58" s="23"/>
      <c r="AU58" s="24"/>
      <c r="AV58" s="24"/>
    </row>
    <row r="59" spans="2:48" ht="12.75">
      <c r="B59" s="149">
        <v>5</v>
      </c>
      <c r="C59" s="37"/>
      <c r="D59" s="33"/>
      <c r="E59" s="90"/>
      <c r="F59" s="86"/>
      <c r="G59" s="8" t="s">
        <v>5</v>
      </c>
      <c r="H59" s="42">
        <v>34613.3</v>
      </c>
      <c r="I59" s="20">
        <v>40922.64</v>
      </c>
      <c r="J59" s="42"/>
      <c r="K59" s="213"/>
      <c r="L59" s="213"/>
      <c r="M59" s="213"/>
      <c r="N59" s="210">
        <f t="shared" si="18"/>
        <v>2046.132</v>
      </c>
      <c r="O59" s="10">
        <f t="shared" si="19"/>
        <v>26742.16</v>
      </c>
      <c r="P59" s="101" t="s">
        <v>165</v>
      </c>
      <c r="Q59" s="24">
        <v>23560</v>
      </c>
      <c r="R59" s="24"/>
      <c r="S59" s="24"/>
      <c r="T59" s="24">
        <f>82+1303</f>
        <v>1385</v>
      </c>
      <c r="U59" s="24"/>
      <c r="V59" s="48"/>
      <c r="W59" s="48"/>
      <c r="X59" s="48"/>
      <c r="Y59" s="48"/>
      <c r="Z59" s="48"/>
      <c r="AA59" s="48"/>
      <c r="AB59" s="48"/>
      <c r="AC59" s="48"/>
      <c r="AD59" s="48">
        <v>77</v>
      </c>
      <c r="AE59" s="48"/>
      <c r="AF59" s="48"/>
      <c r="AG59" s="48"/>
      <c r="AH59" s="48"/>
      <c r="AI59" s="48"/>
      <c r="AJ59" s="48"/>
      <c r="AK59" s="48"/>
      <c r="AL59" s="48"/>
      <c r="AM59" s="48"/>
      <c r="AN59" s="24"/>
      <c r="AO59" s="24"/>
      <c r="AP59" s="24"/>
      <c r="AQ59" s="24"/>
      <c r="AR59" s="24"/>
      <c r="AS59" s="24">
        <v>1720.16</v>
      </c>
      <c r="AT59" s="23"/>
      <c r="AU59" s="23"/>
      <c r="AV59" s="24"/>
    </row>
    <row r="60" spans="2:48" ht="12.75">
      <c r="B60" s="149">
        <v>5</v>
      </c>
      <c r="C60" s="37"/>
      <c r="D60" s="33"/>
      <c r="E60" s="90"/>
      <c r="F60" s="86"/>
      <c r="G60" s="8" t="s">
        <v>6</v>
      </c>
      <c r="H60" s="42">
        <v>34613.3</v>
      </c>
      <c r="I60" s="20">
        <v>26919.51</v>
      </c>
      <c r="J60" s="42"/>
      <c r="K60" s="213"/>
      <c r="L60" s="213"/>
      <c r="M60" s="213"/>
      <c r="N60" s="210">
        <f t="shared" si="18"/>
        <v>1345.9755</v>
      </c>
      <c r="O60" s="10">
        <f t="shared" si="19"/>
        <v>87376.16</v>
      </c>
      <c r="P60" s="101" t="s">
        <v>162</v>
      </c>
      <c r="Q60" s="24">
        <v>18951</v>
      </c>
      <c r="R60" s="24">
        <v>1518</v>
      </c>
      <c r="S60" s="24">
        <v>1898</v>
      </c>
      <c r="T60" s="24"/>
      <c r="U60" s="24"/>
      <c r="V60" s="48"/>
      <c r="W60" s="48"/>
      <c r="X60" s="48"/>
      <c r="Y60" s="48"/>
      <c r="Z60" s="48"/>
      <c r="AA60" s="48">
        <v>48499</v>
      </c>
      <c r="AB60" s="48"/>
      <c r="AC60" s="48"/>
      <c r="AD60" s="48">
        <f>11117+1570</f>
        <v>12687</v>
      </c>
      <c r="AE60" s="48"/>
      <c r="AF60" s="48"/>
      <c r="AG60" s="48"/>
      <c r="AH60" s="48"/>
      <c r="AI60" s="48"/>
      <c r="AJ60" s="48"/>
      <c r="AK60" s="48"/>
      <c r="AL60" s="48"/>
      <c r="AM60" s="48"/>
      <c r="AN60" s="24"/>
      <c r="AO60" s="24"/>
      <c r="AP60" s="24"/>
      <c r="AQ60" s="24"/>
      <c r="AR60" s="24"/>
      <c r="AS60" s="24">
        <v>1720.16</v>
      </c>
      <c r="AT60" s="24"/>
      <c r="AU60" s="24">
        <v>2103</v>
      </c>
      <c r="AV60" s="24"/>
    </row>
    <row r="61" spans="2:48" ht="12.75">
      <c r="B61" s="149">
        <v>5</v>
      </c>
      <c r="C61" s="37"/>
      <c r="D61" s="33"/>
      <c r="E61" s="90"/>
      <c r="F61" s="86"/>
      <c r="G61" s="8" t="s">
        <v>7</v>
      </c>
      <c r="H61" s="42">
        <v>34613.88</v>
      </c>
      <c r="I61" s="20">
        <v>41134.84</v>
      </c>
      <c r="J61" s="42"/>
      <c r="K61" s="213"/>
      <c r="L61" s="213"/>
      <c r="M61" s="213"/>
      <c r="N61" s="210">
        <f t="shared" si="18"/>
        <v>2056.7419999999997</v>
      </c>
      <c r="O61" s="10">
        <f t="shared" si="19"/>
        <v>22329.16</v>
      </c>
      <c r="P61" s="103"/>
      <c r="Q61" s="24">
        <v>17737</v>
      </c>
      <c r="R61" s="24"/>
      <c r="S61" s="24"/>
      <c r="T61" s="24"/>
      <c r="U61" s="24"/>
      <c r="V61" s="48"/>
      <c r="W61" s="48">
        <v>2872</v>
      </c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24"/>
      <c r="AO61" s="24"/>
      <c r="AP61" s="24"/>
      <c r="AQ61" s="24"/>
      <c r="AR61" s="24"/>
      <c r="AS61" s="24">
        <v>1720.16</v>
      </c>
      <c r="AT61" s="23"/>
      <c r="AU61" s="24"/>
      <c r="AV61" s="24"/>
    </row>
    <row r="62" spans="2:48" ht="12.75">
      <c r="B62" s="149">
        <v>5</v>
      </c>
      <c r="C62" s="37"/>
      <c r="D62" s="33"/>
      <c r="E62" s="90"/>
      <c r="F62" s="86"/>
      <c r="G62" s="8" t="s">
        <v>8</v>
      </c>
      <c r="H62" s="42">
        <v>34623.19</v>
      </c>
      <c r="I62" s="20">
        <v>31256.85</v>
      </c>
      <c r="J62" s="42"/>
      <c r="K62" s="213"/>
      <c r="L62" s="213"/>
      <c r="M62" s="213"/>
      <c r="N62" s="210">
        <f t="shared" si="18"/>
        <v>1562.8425</v>
      </c>
      <c r="O62" s="10">
        <f t="shared" si="19"/>
        <v>28877.71</v>
      </c>
      <c r="P62" s="100" t="s">
        <v>281</v>
      </c>
      <c r="Q62" s="24">
        <v>17737</v>
      </c>
      <c r="R62" s="24"/>
      <c r="S62" s="24"/>
      <c r="T62" s="24"/>
      <c r="U62" s="24"/>
      <c r="V62" s="48"/>
      <c r="W62" s="48"/>
      <c r="X62" s="48"/>
      <c r="Y62" s="48"/>
      <c r="Z62" s="48"/>
      <c r="AA62" s="48"/>
      <c r="AB62" s="48"/>
      <c r="AC62" s="48">
        <v>5521</v>
      </c>
      <c r="AD62" s="48">
        <v>892</v>
      </c>
      <c r="AE62" s="48"/>
      <c r="AF62" s="48"/>
      <c r="AG62" s="48">
        <v>616</v>
      </c>
      <c r="AH62" s="48"/>
      <c r="AI62" s="48"/>
      <c r="AJ62" s="48"/>
      <c r="AK62" s="48"/>
      <c r="AL62" s="48"/>
      <c r="AM62" s="48"/>
      <c r="AN62" s="24"/>
      <c r="AO62" s="24"/>
      <c r="AP62" s="24"/>
      <c r="AQ62" s="24"/>
      <c r="AR62" s="24"/>
      <c r="AS62" s="24">
        <v>1720.71</v>
      </c>
      <c r="AT62" s="24"/>
      <c r="AU62" s="24">
        <v>2391</v>
      </c>
      <c r="AV62" s="24"/>
    </row>
    <row r="63" spans="2:48" ht="12.75">
      <c r="B63" s="149">
        <v>5</v>
      </c>
      <c r="C63" s="37"/>
      <c r="D63" s="33"/>
      <c r="E63" s="90"/>
      <c r="F63" s="86"/>
      <c r="G63" s="8" t="s">
        <v>9</v>
      </c>
      <c r="H63" s="42">
        <v>38728.08</v>
      </c>
      <c r="I63" s="20">
        <v>45512.33</v>
      </c>
      <c r="J63" s="42"/>
      <c r="K63" s="213"/>
      <c r="L63" s="213"/>
      <c r="M63" s="213"/>
      <c r="N63" s="210">
        <f t="shared" si="18"/>
        <v>2275.6165</v>
      </c>
      <c r="O63" s="10">
        <f t="shared" si="19"/>
        <v>20034.38</v>
      </c>
      <c r="P63" s="101" t="s">
        <v>290</v>
      </c>
      <c r="Q63" s="48">
        <v>17737</v>
      </c>
      <c r="R63" s="24"/>
      <c r="S63" s="24"/>
      <c r="T63" s="24"/>
      <c r="U63" s="24"/>
      <c r="V63" s="48">
        <v>458</v>
      </c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24"/>
      <c r="AO63" s="24"/>
      <c r="AP63" s="24"/>
      <c r="AQ63" s="24"/>
      <c r="AR63" s="24"/>
      <c r="AS63" s="24">
        <v>1839.38</v>
      </c>
      <c r="AT63" s="24"/>
      <c r="AU63" s="24"/>
      <c r="AV63" s="24"/>
    </row>
    <row r="64" spans="2:48" ht="12.75">
      <c r="B64" s="149">
        <v>5</v>
      </c>
      <c r="C64" s="37"/>
      <c r="D64" s="33"/>
      <c r="E64" s="90"/>
      <c r="F64" s="86"/>
      <c r="G64" s="8" t="s">
        <v>10</v>
      </c>
      <c r="H64" s="42">
        <v>38728.08</v>
      </c>
      <c r="I64" s="20">
        <v>39011.91</v>
      </c>
      <c r="J64" s="42"/>
      <c r="K64" s="213"/>
      <c r="L64" s="213"/>
      <c r="M64" s="213"/>
      <c r="N64" s="210">
        <f t="shared" si="18"/>
        <v>1950.5955000000004</v>
      </c>
      <c r="O64" s="10">
        <f t="shared" si="19"/>
        <v>19576.38</v>
      </c>
      <c r="P64" s="101"/>
      <c r="Q64" s="48">
        <v>17737</v>
      </c>
      <c r="R64" s="24"/>
      <c r="S64" s="24"/>
      <c r="T64" s="24"/>
      <c r="U64" s="24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24"/>
      <c r="AO64" s="24"/>
      <c r="AP64" s="24"/>
      <c r="AQ64" s="24"/>
      <c r="AR64" s="24"/>
      <c r="AS64" s="24">
        <v>1839.38</v>
      </c>
      <c r="AT64" s="24"/>
      <c r="AU64" s="24"/>
      <c r="AV64" s="24"/>
    </row>
    <row r="65" spans="2:48" ht="12.75">
      <c r="B65" s="149">
        <v>5</v>
      </c>
      <c r="C65" s="37"/>
      <c r="D65" s="33"/>
      <c r="E65" s="90"/>
      <c r="F65" s="86"/>
      <c r="G65" s="8" t="s">
        <v>11</v>
      </c>
      <c r="H65" s="42">
        <v>38728.73</v>
      </c>
      <c r="I65" s="20">
        <v>27158.13</v>
      </c>
      <c r="J65" s="42"/>
      <c r="K65" s="213"/>
      <c r="L65" s="213"/>
      <c r="M65" s="213"/>
      <c r="N65" s="210">
        <f t="shared" si="18"/>
        <v>1357.9065</v>
      </c>
      <c r="O65" s="10">
        <f t="shared" si="19"/>
        <v>23219.98</v>
      </c>
      <c r="P65" s="101"/>
      <c r="Q65" s="48">
        <v>17737</v>
      </c>
      <c r="R65" s="24"/>
      <c r="S65" s="24"/>
      <c r="T65" s="24"/>
      <c r="U65" s="24"/>
      <c r="V65" s="48"/>
      <c r="W65" s="48"/>
      <c r="X65" s="48">
        <v>541</v>
      </c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24"/>
      <c r="AO65" s="24"/>
      <c r="AP65" s="24"/>
      <c r="AQ65" s="24">
        <v>999.6</v>
      </c>
      <c r="AR65" s="24"/>
      <c r="AS65" s="24">
        <v>1839.38</v>
      </c>
      <c r="AT65" s="24"/>
      <c r="AU65" s="24">
        <v>2103</v>
      </c>
      <c r="AV65" s="24"/>
    </row>
    <row r="66" spans="2:48" ht="12.75">
      <c r="B66" s="149">
        <v>5</v>
      </c>
      <c r="C66" s="37"/>
      <c r="D66" s="33"/>
      <c r="E66" s="90"/>
      <c r="F66" s="86"/>
      <c r="G66" s="8" t="s">
        <v>12</v>
      </c>
      <c r="H66" s="42">
        <v>38788.14</v>
      </c>
      <c r="I66" s="20">
        <v>44308.96</v>
      </c>
      <c r="J66" s="42"/>
      <c r="K66" s="213"/>
      <c r="L66" s="213"/>
      <c r="M66" s="213"/>
      <c r="N66" s="210">
        <f t="shared" si="18"/>
        <v>2215.448</v>
      </c>
      <c r="O66" s="10">
        <f t="shared" si="19"/>
        <v>19576.42</v>
      </c>
      <c r="P66" s="101"/>
      <c r="Q66" s="24">
        <v>17737</v>
      </c>
      <c r="R66" s="46"/>
      <c r="S66" s="24"/>
      <c r="T66" s="46"/>
      <c r="U66" s="46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24"/>
      <c r="AO66" s="24"/>
      <c r="AP66" s="24"/>
      <c r="AQ66" s="24"/>
      <c r="AR66" s="24"/>
      <c r="AS66" s="24">
        <v>1839.42</v>
      </c>
      <c r="AT66" s="24"/>
      <c r="AU66" s="24"/>
      <c r="AV66" s="24"/>
    </row>
    <row r="67" spans="2:48" ht="12.75">
      <c r="B67" s="149">
        <v>5</v>
      </c>
      <c r="C67" s="37"/>
      <c r="D67" s="33"/>
      <c r="E67" s="90"/>
      <c r="F67" s="86"/>
      <c r="G67" s="8" t="s">
        <v>13</v>
      </c>
      <c r="H67" s="42">
        <v>38788.14</v>
      </c>
      <c r="I67" s="20">
        <v>35791.96</v>
      </c>
      <c r="J67" s="42"/>
      <c r="K67" s="213"/>
      <c r="L67" s="213"/>
      <c r="M67" s="213"/>
      <c r="N67" s="210">
        <f t="shared" si="18"/>
        <v>1789.598</v>
      </c>
      <c r="O67" s="10">
        <f t="shared" si="19"/>
        <v>22198.42</v>
      </c>
      <c r="P67" s="101"/>
      <c r="Q67" s="24">
        <v>17737</v>
      </c>
      <c r="R67" s="24"/>
      <c r="S67" s="24"/>
      <c r="T67" s="24"/>
      <c r="U67" s="24">
        <v>926</v>
      </c>
      <c r="V67" s="48"/>
      <c r="W67" s="48"/>
      <c r="X67" s="48"/>
      <c r="Y67" s="48">
        <v>1696</v>
      </c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24"/>
      <c r="AO67" s="24"/>
      <c r="AP67" s="24"/>
      <c r="AQ67" s="24"/>
      <c r="AR67" s="24"/>
      <c r="AS67" s="24">
        <v>1839.42</v>
      </c>
      <c r="AT67" s="24"/>
      <c r="AU67" s="24"/>
      <c r="AV67" s="24"/>
    </row>
    <row r="68" spans="2:48" ht="13.5" thickBot="1">
      <c r="B68" s="150">
        <v>5</v>
      </c>
      <c r="C68" s="38"/>
      <c r="D68" s="35"/>
      <c r="E68" s="142"/>
      <c r="F68" s="87"/>
      <c r="G68" s="12" t="s">
        <v>14</v>
      </c>
      <c r="H68" s="42">
        <v>38847.55</v>
      </c>
      <c r="I68" s="21">
        <v>67397.06</v>
      </c>
      <c r="J68" s="42"/>
      <c r="K68" s="213"/>
      <c r="L68" s="213"/>
      <c r="M68" s="213"/>
      <c r="N68" s="210">
        <f t="shared" si="18"/>
        <v>3369.853</v>
      </c>
      <c r="O68" s="10">
        <f t="shared" si="19"/>
        <v>16762.42</v>
      </c>
      <c r="P68" s="104"/>
      <c r="Q68" s="25">
        <v>12220</v>
      </c>
      <c r="R68" s="25"/>
      <c r="S68" s="25"/>
      <c r="T68" s="25"/>
      <c r="U68" s="25"/>
      <c r="V68" s="49"/>
      <c r="W68" s="49"/>
      <c r="X68" s="49"/>
      <c r="Y68" s="49"/>
      <c r="Z68" s="49"/>
      <c r="AA68" s="49"/>
      <c r="AB68" s="49"/>
      <c r="AC68" s="49"/>
      <c r="AD68" s="49">
        <v>312</v>
      </c>
      <c r="AE68" s="49"/>
      <c r="AF68" s="49"/>
      <c r="AG68" s="49"/>
      <c r="AH68" s="49"/>
      <c r="AI68" s="49"/>
      <c r="AJ68" s="49"/>
      <c r="AK68" s="49"/>
      <c r="AL68" s="49"/>
      <c r="AM68" s="49"/>
      <c r="AN68" s="25"/>
      <c r="AO68" s="25"/>
      <c r="AP68" s="25"/>
      <c r="AQ68" s="25"/>
      <c r="AR68" s="25"/>
      <c r="AS68" s="25">
        <v>1839.42</v>
      </c>
      <c r="AT68" s="25"/>
      <c r="AU68" s="25">
        <v>2391</v>
      </c>
      <c r="AV68" s="128">
        <f>AV56+I56+J56-K56-L56-M56-N56-O56</f>
        <v>62236.32350000006</v>
      </c>
    </row>
    <row r="69" spans="2:65" s="4" customFormat="1" ht="14.25" thickBot="1" thickTop="1">
      <c r="B69" s="148">
        <v>6</v>
      </c>
      <c r="C69" s="28" t="s">
        <v>17</v>
      </c>
      <c r="D69" s="29">
        <v>45</v>
      </c>
      <c r="E69" s="141" t="s">
        <v>45</v>
      </c>
      <c r="F69" s="84">
        <v>3078.6</v>
      </c>
      <c r="G69" s="50"/>
      <c r="H69" s="69">
        <v>228322.37999999998</v>
      </c>
      <c r="I69" s="69">
        <v>211755.75999999998</v>
      </c>
      <c r="J69" s="69">
        <f>SUM(J70:J81)</f>
        <v>0</v>
      </c>
      <c r="K69" s="211">
        <f>SUM(K70:K81)</f>
        <v>12061.52</v>
      </c>
      <c r="L69" s="211">
        <f>SUM(L70:L81)</f>
        <v>10982.94</v>
      </c>
      <c r="M69" s="211">
        <f>SUM(M70:M81)</f>
        <v>9682.95</v>
      </c>
      <c r="N69" s="215">
        <f>SUM(N70:N81)</f>
        <v>10587.788</v>
      </c>
      <c r="O69" s="16">
        <f>SUM(Q69:AU69)</f>
        <v>113161.8</v>
      </c>
      <c r="P69" s="99"/>
      <c r="Q69" s="11">
        <f>SUM(Q70:Q81)</f>
        <v>63750</v>
      </c>
      <c r="R69" s="11">
        <f>SUM(R70:R81)</f>
        <v>4561</v>
      </c>
      <c r="S69" s="11">
        <f>SUM(S70:S81)</f>
        <v>0</v>
      </c>
      <c r="T69" s="11">
        <f>SUM(T70:T81)</f>
        <v>0</v>
      </c>
      <c r="U69" s="11">
        <f>SUM(U70:U81)</f>
        <v>0</v>
      </c>
      <c r="V69" s="50">
        <f aca="true" t="shared" si="20" ref="V69:AM69">SUM(V70:V81)</f>
        <v>0</v>
      </c>
      <c r="W69" s="50">
        <f t="shared" si="20"/>
        <v>684</v>
      </c>
      <c r="X69" s="50">
        <f t="shared" si="20"/>
        <v>0</v>
      </c>
      <c r="Y69" s="50">
        <f t="shared" si="20"/>
        <v>0</v>
      </c>
      <c r="Z69" s="50">
        <f>SUM(Z70:Z81)</f>
        <v>0</v>
      </c>
      <c r="AA69" s="50">
        <f>SUM(AA70:AA81)</f>
        <v>0</v>
      </c>
      <c r="AB69" s="50">
        <f t="shared" si="20"/>
        <v>0</v>
      </c>
      <c r="AC69" s="50">
        <f t="shared" si="20"/>
        <v>0</v>
      </c>
      <c r="AD69" s="50">
        <f t="shared" si="20"/>
        <v>24402</v>
      </c>
      <c r="AE69" s="50">
        <f t="shared" si="20"/>
        <v>0</v>
      </c>
      <c r="AF69" s="50">
        <f t="shared" si="20"/>
        <v>0</v>
      </c>
      <c r="AG69" s="50">
        <f t="shared" si="20"/>
        <v>118</v>
      </c>
      <c r="AH69" s="50">
        <f t="shared" si="20"/>
        <v>0</v>
      </c>
      <c r="AI69" s="50">
        <f>SUM(AI70:AI81)</f>
        <v>0</v>
      </c>
      <c r="AJ69" s="50">
        <f>SUM(AJ70:AJ81)</f>
        <v>0</v>
      </c>
      <c r="AK69" s="50">
        <f>SUM(AK70:AK81)</f>
        <v>43</v>
      </c>
      <c r="AL69" s="50">
        <f>SUM(AL70:AL81)</f>
        <v>572</v>
      </c>
      <c r="AM69" s="50">
        <f t="shared" si="20"/>
        <v>0</v>
      </c>
      <c r="AN69" s="11">
        <f aca="true" t="shared" si="21" ref="AN69:AU69">SUM(AN70:AN81)</f>
        <v>0</v>
      </c>
      <c r="AO69" s="11">
        <f t="shared" si="21"/>
        <v>3426</v>
      </c>
      <c r="AP69" s="11">
        <f t="shared" si="21"/>
        <v>0</v>
      </c>
      <c r="AQ69" s="11">
        <f>SUM(AQ70:AQ81)</f>
        <v>0</v>
      </c>
      <c r="AR69" s="11">
        <f>SUM(AR70:AR81)</f>
        <v>0</v>
      </c>
      <c r="AS69" s="11">
        <f t="shared" si="21"/>
        <v>11053.800000000003</v>
      </c>
      <c r="AT69" s="11">
        <f t="shared" si="21"/>
        <v>0</v>
      </c>
      <c r="AU69" s="11">
        <f t="shared" si="21"/>
        <v>4552</v>
      </c>
      <c r="AV69" s="127">
        <v>75190.43</v>
      </c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</row>
    <row r="70" spans="2:48" ht="13.5" thickTop="1">
      <c r="B70" s="149">
        <v>6</v>
      </c>
      <c r="C70" s="30" t="s">
        <v>68</v>
      </c>
      <c r="D70" s="31"/>
      <c r="E70" s="124"/>
      <c r="F70" s="85"/>
      <c r="G70" s="9" t="s">
        <v>3</v>
      </c>
      <c r="H70" s="41">
        <v>17952.37</v>
      </c>
      <c r="I70" s="19">
        <v>13169.16</v>
      </c>
      <c r="J70" s="41"/>
      <c r="K70" s="212">
        <v>12061.52</v>
      </c>
      <c r="L70" s="212">
        <v>10982.94</v>
      </c>
      <c r="M70" s="212">
        <v>9682.95</v>
      </c>
      <c r="N70" s="210">
        <f aca="true" t="shared" si="22" ref="N70:N81">I70*0.05</f>
        <v>658.4580000000001</v>
      </c>
      <c r="O70" s="10">
        <f>SUM(Q70:AU70)</f>
        <v>9635.44</v>
      </c>
      <c r="P70" s="112" t="s">
        <v>388</v>
      </c>
      <c r="Q70" s="39">
        <v>4351</v>
      </c>
      <c r="R70" s="23"/>
      <c r="S70" s="23"/>
      <c r="T70" s="23"/>
      <c r="U70" s="23"/>
      <c r="V70" s="39"/>
      <c r="W70" s="39"/>
      <c r="X70" s="39"/>
      <c r="Y70" s="39"/>
      <c r="Z70" s="39"/>
      <c r="AA70" s="39"/>
      <c r="AB70" s="39"/>
      <c r="AC70" s="39"/>
      <c r="AD70" s="39">
        <f>90+4304</f>
        <v>4394</v>
      </c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23"/>
      <c r="AP70" s="23"/>
      <c r="AQ70" s="23"/>
      <c r="AR70" s="23"/>
      <c r="AS70" s="23">
        <v>890.44</v>
      </c>
      <c r="AT70" s="23"/>
      <c r="AU70" s="23"/>
      <c r="AV70" s="23"/>
    </row>
    <row r="71" spans="2:48" ht="12.75">
      <c r="B71" s="149">
        <v>6</v>
      </c>
      <c r="C71" s="37"/>
      <c r="D71" s="33"/>
      <c r="E71" s="88"/>
      <c r="F71" s="86"/>
      <c r="G71" s="8" t="s">
        <v>4</v>
      </c>
      <c r="H71" s="42">
        <v>17952.37</v>
      </c>
      <c r="I71" s="20">
        <v>13152.29</v>
      </c>
      <c r="J71" s="42"/>
      <c r="K71" s="213"/>
      <c r="L71" s="213"/>
      <c r="M71" s="213"/>
      <c r="N71" s="210">
        <f t="shared" si="22"/>
        <v>657.6145000000001</v>
      </c>
      <c r="O71" s="10">
        <f aca="true" t="shared" si="23" ref="O71:O81">SUM(Q71:AU71)</f>
        <v>21965.44</v>
      </c>
      <c r="P71" s="102" t="s">
        <v>389</v>
      </c>
      <c r="Q71" s="48">
        <v>4351</v>
      </c>
      <c r="R71" s="24"/>
      <c r="S71" s="45"/>
      <c r="T71" s="24"/>
      <c r="U71" s="24"/>
      <c r="V71" s="48"/>
      <c r="W71" s="48"/>
      <c r="X71" s="48"/>
      <c r="Y71" s="48"/>
      <c r="Z71" s="48"/>
      <c r="AA71" s="48"/>
      <c r="AB71" s="48"/>
      <c r="AC71" s="48"/>
      <c r="AD71" s="48">
        <f>246+16478</f>
        <v>16724</v>
      </c>
      <c r="AE71" s="48"/>
      <c r="AF71" s="48"/>
      <c r="AG71" s="48"/>
      <c r="AH71" s="48"/>
      <c r="AI71" s="48"/>
      <c r="AJ71" s="48"/>
      <c r="AK71" s="48"/>
      <c r="AL71" s="48"/>
      <c r="AM71" s="48"/>
      <c r="AN71" s="24"/>
      <c r="AO71" s="24"/>
      <c r="AP71" s="24"/>
      <c r="AQ71" s="24"/>
      <c r="AR71" s="24"/>
      <c r="AS71" s="24">
        <v>890.44</v>
      </c>
      <c r="AT71" s="23"/>
      <c r="AU71" s="24"/>
      <c r="AV71" s="24"/>
    </row>
    <row r="72" spans="2:48" ht="12.75">
      <c r="B72" s="149">
        <v>6</v>
      </c>
      <c r="C72" s="37"/>
      <c r="D72" s="33"/>
      <c r="E72" s="88"/>
      <c r="F72" s="86"/>
      <c r="G72" s="8" t="s">
        <v>5</v>
      </c>
      <c r="H72" s="42">
        <v>17952.37</v>
      </c>
      <c r="I72" s="20">
        <v>18203.08</v>
      </c>
      <c r="J72" s="42"/>
      <c r="K72" s="213"/>
      <c r="L72" s="213"/>
      <c r="M72" s="213"/>
      <c r="N72" s="210">
        <f t="shared" si="22"/>
        <v>910.1540000000001</v>
      </c>
      <c r="O72" s="10">
        <f t="shared" si="23"/>
        <v>5528.4400000000005</v>
      </c>
      <c r="P72" s="101" t="s">
        <v>390</v>
      </c>
      <c r="Q72" s="48">
        <v>4351</v>
      </c>
      <c r="R72" s="24"/>
      <c r="S72" s="24"/>
      <c r="T72" s="24"/>
      <c r="U72" s="24"/>
      <c r="V72" s="48"/>
      <c r="W72" s="48"/>
      <c r="X72" s="48"/>
      <c r="Y72" s="48"/>
      <c r="Z72" s="48"/>
      <c r="AA72" s="48"/>
      <c r="AB72" s="48"/>
      <c r="AC72" s="48"/>
      <c r="AD72" s="48">
        <v>169</v>
      </c>
      <c r="AE72" s="48"/>
      <c r="AF72" s="48"/>
      <c r="AG72" s="48">
        <v>118</v>
      </c>
      <c r="AH72" s="48"/>
      <c r="AI72" s="48"/>
      <c r="AJ72" s="48"/>
      <c r="AK72" s="48"/>
      <c r="AL72" s="48"/>
      <c r="AM72" s="48"/>
      <c r="AN72" s="24"/>
      <c r="AO72" s="24"/>
      <c r="AP72" s="24"/>
      <c r="AQ72" s="24"/>
      <c r="AR72" s="24"/>
      <c r="AS72" s="24">
        <v>890.44</v>
      </c>
      <c r="AT72" s="23"/>
      <c r="AU72" s="23"/>
      <c r="AV72" s="24"/>
    </row>
    <row r="73" spans="2:48" ht="12.75">
      <c r="B73" s="149">
        <v>6</v>
      </c>
      <c r="C73" s="37"/>
      <c r="D73" s="33"/>
      <c r="E73" s="88"/>
      <c r="F73" s="86"/>
      <c r="G73" s="8" t="s">
        <v>6</v>
      </c>
      <c r="H73" s="42">
        <v>17952.37</v>
      </c>
      <c r="I73" s="20">
        <v>14939.91</v>
      </c>
      <c r="J73" s="42"/>
      <c r="K73" s="213"/>
      <c r="L73" s="213"/>
      <c r="M73" s="213"/>
      <c r="N73" s="210">
        <f t="shared" si="22"/>
        <v>746.9955</v>
      </c>
      <c r="O73" s="10">
        <f t="shared" si="23"/>
        <v>12169.44</v>
      </c>
      <c r="P73" s="101" t="s">
        <v>390</v>
      </c>
      <c r="Q73" s="48">
        <v>5619</v>
      </c>
      <c r="R73" s="48">
        <v>4561</v>
      </c>
      <c r="S73" s="24"/>
      <c r="T73" s="24"/>
      <c r="U73" s="24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24"/>
      <c r="AO73" s="24"/>
      <c r="AP73" s="24"/>
      <c r="AQ73" s="24"/>
      <c r="AR73" s="24"/>
      <c r="AS73" s="24">
        <v>890.44</v>
      </c>
      <c r="AT73" s="24"/>
      <c r="AU73" s="24">
        <v>1099</v>
      </c>
      <c r="AV73" s="24"/>
    </row>
    <row r="74" spans="2:48" ht="12.75">
      <c r="B74" s="149">
        <v>6</v>
      </c>
      <c r="C74" s="37"/>
      <c r="D74" s="33"/>
      <c r="E74" s="88"/>
      <c r="F74" s="86"/>
      <c r="G74" s="8" t="s">
        <v>7</v>
      </c>
      <c r="H74" s="42">
        <v>17952.37</v>
      </c>
      <c r="I74" s="20">
        <v>19293.78</v>
      </c>
      <c r="J74" s="42"/>
      <c r="K74" s="213"/>
      <c r="L74" s="213"/>
      <c r="M74" s="213"/>
      <c r="N74" s="210">
        <f t="shared" si="22"/>
        <v>964.689</v>
      </c>
      <c r="O74" s="10">
        <f>SUM(Q74:AU74)</f>
        <v>6995.4400000000005</v>
      </c>
      <c r="P74" s="181"/>
      <c r="Q74" s="48">
        <v>5421</v>
      </c>
      <c r="R74" s="24"/>
      <c r="S74" s="24"/>
      <c r="T74" s="24"/>
      <c r="U74" s="24"/>
      <c r="V74" s="48"/>
      <c r="W74" s="48">
        <v>684</v>
      </c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24"/>
      <c r="AO74" s="24"/>
      <c r="AP74" s="24"/>
      <c r="AQ74" s="24"/>
      <c r="AR74" s="24"/>
      <c r="AS74" s="24">
        <v>890.44</v>
      </c>
      <c r="AT74" s="23"/>
      <c r="AU74" s="24"/>
      <c r="AV74" s="24"/>
    </row>
    <row r="75" spans="2:48" ht="12.75">
      <c r="B75" s="149">
        <v>6</v>
      </c>
      <c r="C75" s="37"/>
      <c r="D75" s="33"/>
      <c r="E75" s="88"/>
      <c r="F75" s="86"/>
      <c r="G75" s="8" t="s">
        <v>8</v>
      </c>
      <c r="H75" s="42">
        <v>17952.37</v>
      </c>
      <c r="I75" s="20">
        <v>14412.22</v>
      </c>
      <c r="J75" s="42"/>
      <c r="K75" s="213"/>
      <c r="L75" s="213"/>
      <c r="M75" s="213"/>
      <c r="N75" s="210">
        <f t="shared" si="22"/>
        <v>720.611</v>
      </c>
      <c r="O75" s="10">
        <f t="shared" si="23"/>
        <v>7488.4400000000005</v>
      </c>
      <c r="P75" s="179"/>
      <c r="Q75" s="48">
        <v>5421</v>
      </c>
      <c r="R75" s="24"/>
      <c r="S75" s="24"/>
      <c r="T75" s="24"/>
      <c r="U75" s="24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24"/>
      <c r="AO75" s="24"/>
      <c r="AP75" s="24"/>
      <c r="AQ75" s="24"/>
      <c r="AR75" s="24"/>
      <c r="AS75" s="24">
        <v>890.44</v>
      </c>
      <c r="AT75" s="24"/>
      <c r="AU75" s="24">
        <v>1177</v>
      </c>
      <c r="AV75" s="24"/>
    </row>
    <row r="76" spans="2:48" ht="12.75">
      <c r="B76" s="149">
        <v>6</v>
      </c>
      <c r="C76" s="37"/>
      <c r="D76" s="33"/>
      <c r="E76" s="88"/>
      <c r="F76" s="86"/>
      <c r="G76" s="8" t="s">
        <v>9</v>
      </c>
      <c r="H76" s="42">
        <v>20080.75</v>
      </c>
      <c r="I76" s="20">
        <v>22479.3</v>
      </c>
      <c r="J76" s="42"/>
      <c r="K76" s="213"/>
      <c r="L76" s="213"/>
      <c r="M76" s="213"/>
      <c r="N76" s="210">
        <f t="shared" si="22"/>
        <v>1123.965</v>
      </c>
      <c r="O76" s="10">
        <f t="shared" si="23"/>
        <v>9487.86</v>
      </c>
      <c r="P76" s="101"/>
      <c r="Q76" s="48">
        <v>5421</v>
      </c>
      <c r="R76" s="24"/>
      <c r="S76" s="24"/>
      <c r="T76" s="24"/>
      <c r="U76" s="24"/>
      <c r="V76" s="48"/>
      <c r="W76" s="48"/>
      <c r="X76" s="48"/>
      <c r="Y76" s="48"/>
      <c r="Z76" s="48"/>
      <c r="AA76" s="48"/>
      <c r="AB76" s="48"/>
      <c r="AC76" s="48"/>
      <c r="AD76" s="48">
        <v>3115</v>
      </c>
      <c r="AE76" s="48"/>
      <c r="AF76" s="48"/>
      <c r="AG76" s="48"/>
      <c r="AH76" s="48"/>
      <c r="AI76" s="48"/>
      <c r="AJ76" s="48"/>
      <c r="AK76" s="48"/>
      <c r="AL76" s="48"/>
      <c r="AM76" s="48"/>
      <c r="AN76" s="24"/>
      <c r="AO76" s="24"/>
      <c r="AP76" s="24"/>
      <c r="AQ76" s="24"/>
      <c r="AR76" s="24"/>
      <c r="AS76" s="24">
        <v>951.86</v>
      </c>
      <c r="AT76" s="24"/>
      <c r="AU76" s="24"/>
      <c r="AV76" s="24"/>
    </row>
    <row r="77" spans="2:48" ht="12.75">
      <c r="B77" s="149">
        <v>6</v>
      </c>
      <c r="C77" s="37"/>
      <c r="D77" s="33"/>
      <c r="E77" s="88"/>
      <c r="F77" s="86"/>
      <c r="G77" s="8" t="s">
        <v>10</v>
      </c>
      <c r="H77" s="42">
        <v>20080.75</v>
      </c>
      <c r="I77" s="20">
        <v>21623.95</v>
      </c>
      <c r="J77" s="42"/>
      <c r="K77" s="213"/>
      <c r="L77" s="213"/>
      <c r="M77" s="213"/>
      <c r="N77" s="210">
        <f t="shared" si="22"/>
        <v>1081.1975</v>
      </c>
      <c r="O77" s="10">
        <f t="shared" si="23"/>
        <v>6372.86</v>
      </c>
      <c r="P77" s="101"/>
      <c r="Q77" s="48">
        <v>5421</v>
      </c>
      <c r="R77" s="24"/>
      <c r="S77" s="24"/>
      <c r="T77" s="24"/>
      <c r="U77" s="24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24"/>
      <c r="AO77" s="24"/>
      <c r="AP77" s="24"/>
      <c r="AQ77" s="24"/>
      <c r="AR77" s="24"/>
      <c r="AS77" s="24">
        <v>951.86</v>
      </c>
      <c r="AT77" s="24"/>
      <c r="AU77" s="24"/>
      <c r="AV77" s="24"/>
    </row>
    <row r="78" spans="2:48" ht="12.75">
      <c r="B78" s="149">
        <v>6</v>
      </c>
      <c r="C78" s="37"/>
      <c r="D78" s="33"/>
      <c r="E78" s="88"/>
      <c r="F78" s="86"/>
      <c r="G78" s="8" t="s">
        <v>11</v>
      </c>
      <c r="H78" s="42">
        <v>20080.75</v>
      </c>
      <c r="I78" s="20">
        <v>16253.15</v>
      </c>
      <c r="J78" s="42"/>
      <c r="K78" s="213"/>
      <c r="L78" s="213"/>
      <c r="M78" s="213"/>
      <c r="N78" s="210">
        <f t="shared" si="22"/>
        <v>812.6575</v>
      </c>
      <c r="O78" s="10">
        <f t="shared" si="23"/>
        <v>7626.86</v>
      </c>
      <c r="P78" s="101" t="s">
        <v>387</v>
      </c>
      <c r="Q78" s="48">
        <v>5421</v>
      </c>
      <c r="R78" s="24"/>
      <c r="S78" s="24"/>
      <c r="T78" s="24"/>
      <c r="U78" s="24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>
        <v>43</v>
      </c>
      <c r="AL78" s="48">
        <v>112</v>
      </c>
      <c r="AM78" s="48"/>
      <c r="AN78" s="24"/>
      <c r="AO78" s="24"/>
      <c r="AP78" s="24"/>
      <c r="AQ78" s="24"/>
      <c r="AR78" s="24"/>
      <c r="AS78" s="24">
        <v>951.86</v>
      </c>
      <c r="AT78" s="24"/>
      <c r="AU78" s="24">
        <v>1099</v>
      </c>
      <c r="AV78" s="24"/>
    </row>
    <row r="79" spans="2:48" ht="12.75">
      <c r="B79" s="149">
        <v>6</v>
      </c>
      <c r="C79" s="37"/>
      <c r="D79" s="33"/>
      <c r="E79" s="88"/>
      <c r="F79" s="86"/>
      <c r="G79" s="8" t="s">
        <v>12</v>
      </c>
      <c r="H79" s="42">
        <v>20142.73</v>
      </c>
      <c r="I79" s="20">
        <v>27164.77</v>
      </c>
      <c r="J79" s="42"/>
      <c r="K79" s="213"/>
      <c r="L79" s="213"/>
      <c r="M79" s="213"/>
      <c r="N79" s="210">
        <f t="shared" si="22"/>
        <v>1358.2385000000002</v>
      </c>
      <c r="O79" s="10">
        <f t="shared" si="23"/>
        <v>6372.86</v>
      </c>
      <c r="P79" s="101"/>
      <c r="Q79" s="48">
        <v>5421</v>
      </c>
      <c r="R79" s="24"/>
      <c r="S79" s="24"/>
      <c r="T79" s="24"/>
      <c r="U79" s="24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24"/>
      <c r="AO79" s="24"/>
      <c r="AP79" s="24"/>
      <c r="AQ79" s="24"/>
      <c r="AR79" s="24"/>
      <c r="AS79" s="24">
        <v>951.86</v>
      </c>
      <c r="AT79" s="24"/>
      <c r="AU79" s="24"/>
      <c r="AV79" s="24"/>
    </row>
    <row r="80" spans="2:48" ht="12.75">
      <c r="B80" s="149">
        <v>6</v>
      </c>
      <c r="C80" s="37"/>
      <c r="D80" s="33"/>
      <c r="E80" s="88"/>
      <c r="F80" s="86"/>
      <c r="G80" s="8" t="s">
        <v>13</v>
      </c>
      <c r="H80" s="42">
        <v>20111.59</v>
      </c>
      <c r="I80" s="20">
        <v>10736.47</v>
      </c>
      <c r="J80" s="42"/>
      <c r="K80" s="213"/>
      <c r="L80" s="213"/>
      <c r="M80" s="213"/>
      <c r="N80" s="210">
        <f t="shared" si="22"/>
        <v>536.8235</v>
      </c>
      <c r="O80" s="10">
        <f t="shared" si="23"/>
        <v>9798.86</v>
      </c>
      <c r="P80" s="101"/>
      <c r="Q80" s="48">
        <v>5421</v>
      </c>
      <c r="R80" s="24"/>
      <c r="S80" s="24"/>
      <c r="T80" s="24"/>
      <c r="U80" s="24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24"/>
      <c r="AO80" s="24">
        <v>3426</v>
      </c>
      <c r="AP80" s="24"/>
      <c r="AQ80" s="24"/>
      <c r="AR80" s="24"/>
      <c r="AS80" s="24">
        <v>951.86</v>
      </c>
      <c r="AT80" s="24"/>
      <c r="AU80" s="24"/>
      <c r="AV80" s="24"/>
    </row>
    <row r="81" spans="2:48" ht="13.5" thickBot="1">
      <c r="B81" s="150">
        <v>6</v>
      </c>
      <c r="C81" s="38"/>
      <c r="D81" s="35"/>
      <c r="E81" s="125"/>
      <c r="F81" s="87"/>
      <c r="G81" s="12" t="s">
        <v>14</v>
      </c>
      <c r="H81" s="42">
        <v>20111.59</v>
      </c>
      <c r="I81" s="21">
        <v>20327.68</v>
      </c>
      <c r="J81" s="42"/>
      <c r="K81" s="213"/>
      <c r="L81" s="213"/>
      <c r="M81" s="213"/>
      <c r="N81" s="210">
        <f t="shared" si="22"/>
        <v>1016.384</v>
      </c>
      <c r="O81" s="10">
        <f t="shared" si="23"/>
        <v>9719.86</v>
      </c>
      <c r="P81" s="104" t="s">
        <v>307</v>
      </c>
      <c r="Q81" s="48">
        <v>7131</v>
      </c>
      <c r="R81" s="25"/>
      <c r="S81" s="25"/>
      <c r="T81" s="25"/>
      <c r="U81" s="25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>
        <v>460</v>
      </c>
      <c r="AM81" s="49"/>
      <c r="AN81" s="25"/>
      <c r="AO81" s="25"/>
      <c r="AP81" s="25"/>
      <c r="AQ81" s="25"/>
      <c r="AR81" s="25"/>
      <c r="AS81" s="25">
        <v>951.86</v>
      </c>
      <c r="AT81" s="25"/>
      <c r="AU81" s="25">
        <v>1177</v>
      </c>
      <c r="AV81" s="128">
        <f>AV69+I69+J69-K69-L69-M69-N69-O69</f>
        <v>130469.19199999991</v>
      </c>
    </row>
    <row r="82" spans="2:65" s="4" customFormat="1" ht="14.25" thickBot="1" thickTop="1">
      <c r="B82" s="148">
        <v>7</v>
      </c>
      <c r="C82" s="28" t="s">
        <v>17</v>
      </c>
      <c r="D82" s="29">
        <v>55</v>
      </c>
      <c r="E82" s="141" t="s">
        <v>45</v>
      </c>
      <c r="F82" s="84">
        <v>3097.4</v>
      </c>
      <c r="G82" s="50"/>
      <c r="H82" s="69">
        <v>171910.81</v>
      </c>
      <c r="I82" s="69">
        <v>152504.78</v>
      </c>
      <c r="J82" s="69">
        <f>SUM(J83:J94)</f>
        <v>0</v>
      </c>
      <c r="K82" s="211">
        <f>SUM(K83:K94)</f>
        <v>10446.26</v>
      </c>
      <c r="L82" s="211">
        <f>SUM(L83:L94)</f>
        <v>11771.92</v>
      </c>
      <c r="M82" s="211">
        <f>SUM(M83:M94)</f>
        <v>6288.1</v>
      </c>
      <c r="N82" s="215">
        <f>SUM(N83:N94)</f>
        <v>7625.239</v>
      </c>
      <c r="O82" s="16">
        <f>SUM(Q82:AU82)</f>
        <v>165868.5</v>
      </c>
      <c r="P82" s="99"/>
      <c r="Q82" s="11">
        <f>SUM(Q83:Q94)</f>
        <v>123670</v>
      </c>
      <c r="R82" s="11">
        <f>SUM(R83:R94)</f>
        <v>8660</v>
      </c>
      <c r="S82" s="11">
        <f>SUM(S83:S94)</f>
        <v>2126</v>
      </c>
      <c r="T82" s="11">
        <f>SUM(T83:T94)</f>
        <v>0</v>
      </c>
      <c r="U82" s="11">
        <f>SUM(U83:U94)</f>
        <v>0</v>
      </c>
      <c r="V82" s="50">
        <f aca="true" t="shared" si="24" ref="V82:AM82">SUM(V83:V94)</f>
        <v>1175</v>
      </c>
      <c r="W82" s="50">
        <f t="shared" si="24"/>
        <v>4480</v>
      </c>
      <c r="X82" s="50">
        <f t="shared" si="24"/>
        <v>36</v>
      </c>
      <c r="Y82" s="50">
        <f t="shared" si="24"/>
        <v>0</v>
      </c>
      <c r="Z82" s="50">
        <f>SUM(Z83:Z94)</f>
        <v>0</v>
      </c>
      <c r="AA82" s="50">
        <f>SUM(AA83:AA94)</f>
        <v>0</v>
      </c>
      <c r="AB82" s="50">
        <f t="shared" si="24"/>
        <v>0</v>
      </c>
      <c r="AC82" s="50">
        <f t="shared" si="24"/>
        <v>0</v>
      </c>
      <c r="AD82" s="50">
        <f t="shared" si="24"/>
        <v>5778</v>
      </c>
      <c r="AE82" s="50">
        <f t="shared" si="24"/>
        <v>0</v>
      </c>
      <c r="AF82" s="50">
        <f t="shared" si="24"/>
        <v>0</v>
      </c>
      <c r="AG82" s="50">
        <f t="shared" si="24"/>
        <v>118</v>
      </c>
      <c r="AH82" s="50">
        <f t="shared" si="24"/>
        <v>0</v>
      </c>
      <c r="AI82" s="50">
        <f>SUM(AI83:AI94)</f>
        <v>0</v>
      </c>
      <c r="AJ82" s="50">
        <f>SUM(AJ83:AJ94)</f>
        <v>0</v>
      </c>
      <c r="AK82" s="50">
        <f>SUM(AK83:AK94)</f>
        <v>0</v>
      </c>
      <c r="AL82" s="50">
        <f>SUM(AL83:AL94)</f>
        <v>0</v>
      </c>
      <c r="AM82" s="50">
        <f t="shared" si="24"/>
        <v>0</v>
      </c>
      <c r="AN82" s="11">
        <f aca="true" t="shared" si="25" ref="AN82:AU82">SUM(AN83:AN94)</f>
        <v>0</v>
      </c>
      <c r="AO82" s="11">
        <f t="shared" si="25"/>
        <v>3480</v>
      </c>
      <c r="AP82" s="11">
        <f t="shared" si="25"/>
        <v>0</v>
      </c>
      <c r="AQ82" s="11">
        <f>SUM(AQ83:AQ94)</f>
        <v>0</v>
      </c>
      <c r="AR82" s="11">
        <f>SUM(AR83:AR94)</f>
        <v>0</v>
      </c>
      <c r="AS82" s="11">
        <f t="shared" si="25"/>
        <v>11059.499999999998</v>
      </c>
      <c r="AT82" s="11">
        <f t="shared" si="25"/>
        <v>0</v>
      </c>
      <c r="AU82" s="11">
        <f t="shared" si="25"/>
        <v>5286</v>
      </c>
      <c r="AV82" s="127">
        <v>-86295.59</v>
      </c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</row>
    <row r="83" spans="2:48" ht="13.5" thickTop="1">
      <c r="B83" s="149">
        <v>7</v>
      </c>
      <c r="C83" s="30" t="s">
        <v>68</v>
      </c>
      <c r="D83" s="31"/>
      <c r="E83" s="124"/>
      <c r="F83" s="85"/>
      <c r="G83" s="9" t="s">
        <v>3</v>
      </c>
      <c r="H83" s="41">
        <v>11164.08</v>
      </c>
      <c r="I83" s="19">
        <v>7383.98</v>
      </c>
      <c r="J83" s="41"/>
      <c r="K83" s="212">
        <v>10446.26</v>
      </c>
      <c r="L83" s="212">
        <v>11771.92</v>
      </c>
      <c r="M83" s="212">
        <v>6288.1</v>
      </c>
      <c r="N83" s="210">
        <f aca="true" t="shared" si="26" ref="N83:N94">I83*0.05</f>
        <v>369.199</v>
      </c>
      <c r="O83" s="10">
        <f>SUM(Q83:AU83)</f>
        <v>13447.74</v>
      </c>
      <c r="P83" s="107"/>
      <c r="Q83" s="39">
        <v>12557</v>
      </c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>
        <v>890.74</v>
      </c>
      <c r="AT83" s="39"/>
      <c r="AU83" s="39"/>
      <c r="AV83" s="23"/>
    </row>
    <row r="84" spans="2:48" ht="12.75">
      <c r="B84" s="149">
        <v>7</v>
      </c>
      <c r="C84" s="37"/>
      <c r="D84" s="33"/>
      <c r="E84" s="88"/>
      <c r="F84" s="86"/>
      <c r="G84" s="8" t="s">
        <v>4</v>
      </c>
      <c r="H84" s="42">
        <v>11164.08</v>
      </c>
      <c r="I84" s="20">
        <v>10439.8</v>
      </c>
      <c r="J84" s="42"/>
      <c r="K84" s="213"/>
      <c r="L84" s="213"/>
      <c r="M84" s="213"/>
      <c r="N84" s="210">
        <f t="shared" si="26"/>
        <v>521.99</v>
      </c>
      <c r="O84" s="10">
        <f aca="true" t="shared" si="27" ref="O84:O94">SUM(Q84:AU84)</f>
        <v>13447.74</v>
      </c>
      <c r="P84" s="166"/>
      <c r="Q84" s="48">
        <v>12557</v>
      </c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>
        <v>890.74</v>
      </c>
      <c r="AT84" s="39"/>
      <c r="AU84" s="48"/>
      <c r="AV84" s="24"/>
    </row>
    <row r="85" spans="2:48" ht="12.75">
      <c r="B85" s="149">
        <v>7</v>
      </c>
      <c r="C85" s="37"/>
      <c r="D85" s="33"/>
      <c r="E85" s="88"/>
      <c r="F85" s="86"/>
      <c r="G85" s="8" t="s">
        <v>5</v>
      </c>
      <c r="H85" s="42">
        <v>11164.08</v>
      </c>
      <c r="I85" s="20">
        <v>10585.64</v>
      </c>
      <c r="J85" s="42"/>
      <c r="K85" s="213"/>
      <c r="L85" s="213"/>
      <c r="M85" s="213"/>
      <c r="N85" s="210">
        <f t="shared" si="26"/>
        <v>529.282</v>
      </c>
      <c r="O85" s="10">
        <f t="shared" si="27"/>
        <v>14237.74</v>
      </c>
      <c r="P85" s="98" t="s">
        <v>205</v>
      </c>
      <c r="Q85" s="48">
        <v>12557</v>
      </c>
      <c r="R85" s="48"/>
      <c r="S85" s="48"/>
      <c r="T85" s="48"/>
      <c r="U85" s="48"/>
      <c r="V85" s="48">
        <v>672</v>
      </c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>
        <v>118</v>
      </c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>
        <v>890.74</v>
      </c>
      <c r="AT85" s="39"/>
      <c r="AU85" s="39"/>
      <c r="AV85" s="24"/>
    </row>
    <row r="86" spans="2:48" ht="12.75">
      <c r="B86" s="149">
        <v>7</v>
      </c>
      <c r="C86" s="37"/>
      <c r="D86" s="33"/>
      <c r="E86" s="88"/>
      <c r="F86" s="86"/>
      <c r="G86" s="8" t="s">
        <v>6</v>
      </c>
      <c r="H86" s="42">
        <v>11164.08</v>
      </c>
      <c r="I86" s="20">
        <v>9374.07</v>
      </c>
      <c r="J86" s="42"/>
      <c r="K86" s="213"/>
      <c r="L86" s="213"/>
      <c r="M86" s="213"/>
      <c r="N86" s="210">
        <f t="shared" si="26"/>
        <v>468.7035</v>
      </c>
      <c r="O86" s="10">
        <f t="shared" si="27"/>
        <v>13622.74</v>
      </c>
      <c r="P86" s="94" t="s">
        <v>226</v>
      </c>
      <c r="Q86" s="48">
        <v>10414</v>
      </c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>
        <v>1108</v>
      </c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>
        <v>890.74</v>
      </c>
      <c r="AT86" s="48"/>
      <c r="AU86" s="48">
        <v>1210</v>
      </c>
      <c r="AV86" s="24"/>
    </row>
    <row r="87" spans="2:48" ht="12.75">
      <c r="B87" s="149">
        <v>7</v>
      </c>
      <c r="C87" s="37"/>
      <c r="D87" s="33"/>
      <c r="E87" s="88"/>
      <c r="F87" s="86"/>
      <c r="G87" s="8" t="s">
        <v>7</v>
      </c>
      <c r="H87" s="42">
        <v>11164.45</v>
      </c>
      <c r="I87" s="20">
        <v>3773.84</v>
      </c>
      <c r="J87" s="42"/>
      <c r="K87" s="213"/>
      <c r="L87" s="213"/>
      <c r="M87" s="213"/>
      <c r="N87" s="210">
        <f t="shared" si="26"/>
        <v>188.692</v>
      </c>
      <c r="O87" s="10">
        <f t="shared" si="27"/>
        <v>21491.74</v>
      </c>
      <c r="P87" s="94" t="s">
        <v>226</v>
      </c>
      <c r="Q87" s="48">
        <v>9701</v>
      </c>
      <c r="R87" s="48">
        <v>8660</v>
      </c>
      <c r="S87" s="48"/>
      <c r="T87" s="48"/>
      <c r="U87" s="48"/>
      <c r="V87" s="48"/>
      <c r="W87" s="48">
        <v>2240</v>
      </c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>
        <v>890.74</v>
      </c>
      <c r="AT87" s="39"/>
      <c r="AU87" s="48"/>
      <c r="AV87" s="24"/>
    </row>
    <row r="88" spans="2:48" ht="12.75">
      <c r="B88" s="149">
        <v>7</v>
      </c>
      <c r="C88" s="37"/>
      <c r="D88" s="33"/>
      <c r="E88" s="88"/>
      <c r="F88" s="86"/>
      <c r="G88" s="8" t="s">
        <v>8</v>
      </c>
      <c r="H88" s="42">
        <v>11164.45</v>
      </c>
      <c r="I88" s="20">
        <v>10634.99</v>
      </c>
      <c r="J88" s="42"/>
      <c r="K88" s="213"/>
      <c r="L88" s="213"/>
      <c r="M88" s="213"/>
      <c r="N88" s="210">
        <f t="shared" si="26"/>
        <v>531.7495</v>
      </c>
      <c r="O88" s="10">
        <f t="shared" si="27"/>
        <v>20835.74</v>
      </c>
      <c r="P88" s="94" t="s">
        <v>287</v>
      </c>
      <c r="Q88" s="48">
        <v>9701</v>
      </c>
      <c r="R88" s="48"/>
      <c r="S88" s="48">
        <v>2126</v>
      </c>
      <c r="T88" s="48"/>
      <c r="U88" s="48"/>
      <c r="V88" s="48">
        <v>503</v>
      </c>
      <c r="W88" s="48">
        <v>2240</v>
      </c>
      <c r="X88" s="48"/>
      <c r="Y88" s="48"/>
      <c r="Z88" s="48"/>
      <c r="AA88" s="48"/>
      <c r="AB88" s="48"/>
      <c r="AC88" s="48"/>
      <c r="AD88" s="48">
        <v>3942</v>
      </c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>
        <v>890.74</v>
      </c>
      <c r="AT88" s="48"/>
      <c r="AU88" s="48">
        <v>1433</v>
      </c>
      <c r="AV88" s="24"/>
    </row>
    <row r="89" spans="2:48" ht="12.75">
      <c r="B89" s="149">
        <v>7</v>
      </c>
      <c r="C89" s="37"/>
      <c r="D89" s="33"/>
      <c r="E89" s="88"/>
      <c r="F89" s="86"/>
      <c r="G89" s="8" t="s">
        <v>9</v>
      </c>
      <c r="H89" s="42">
        <v>12506.64</v>
      </c>
      <c r="I89" s="20">
        <v>11399.09</v>
      </c>
      <c r="J89" s="42"/>
      <c r="K89" s="213"/>
      <c r="L89" s="213"/>
      <c r="M89" s="213"/>
      <c r="N89" s="210">
        <f t="shared" si="26"/>
        <v>569.9545</v>
      </c>
      <c r="O89" s="10">
        <f t="shared" si="27"/>
        <v>10653.2</v>
      </c>
      <c r="P89" s="176"/>
      <c r="Q89" s="48">
        <v>9701</v>
      </c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>
        <v>952.2</v>
      </c>
      <c r="AT89" s="48"/>
      <c r="AU89" s="48"/>
      <c r="AV89" s="24"/>
    </row>
    <row r="90" spans="2:48" ht="12.75">
      <c r="B90" s="149">
        <v>7</v>
      </c>
      <c r="C90" s="37"/>
      <c r="D90" s="33"/>
      <c r="E90" s="88"/>
      <c r="F90" s="86"/>
      <c r="G90" s="8" t="s">
        <v>10</v>
      </c>
      <c r="H90" s="42">
        <v>12506.64</v>
      </c>
      <c r="I90" s="20">
        <v>11239.95</v>
      </c>
      <c r="J90" s="42"/>
      <c r="K90" s="213"/>
      <c r="L90" s="213"/>
      <c r="M90" s="213"/>
      <c r="N90" s="210">
        <f t="shared" si="26"/>
        <v>561.9975000000001</v>
      </c>
      <c r="O90" s="10">
        <f t="shared" si="27"/>
        <v>14133.2</v>
      </c>
      <c r="P90" s="98"/>
      <c r="Q90" s="48">
        <v>9701</v>
      </c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>
        <v>3480</v>
      </c>
      <c r="AP90" s="48"/>
      <c r="AQ90" s="48"/>
      <c r="AR90" s="48"/>
      <c r="AS90" s="48">
        <v>952.2</v>
      </c>
      <c r="AT90" s="48"/>
      <c r="AU90" s="48"/>
      <c r="AV90" s="24"/>
    </row>
    <row r="91" spans="2:48" ht="12.75">
      <c r="B91" s="149">
        <v>7</v>
      </c>
      <c r="C91" s="37"/>
      <c r="D91" s="33"/>
      <c r="E91" s="88"/>
      <c r="F91" s="86"/>
      <c r="G91" s="8" t="s">
        <v>11</v>
      </c>
      <c r="H91" s="42">
        <v>12506.64</v>
      </c>
      <c r="I91" s="20">
        <v>7205.01</v>
      </c>
      <c r="J91" s="42"/>
      <c r="K91" s="213"/>
      <c r="L91" s="213"/>
      <c r="M91" s="213"/>
      <c r="N91" s="210">
        <f t="shared" si="26"/>
        <v>360.25050000000005</v>
      </c>
      <c r="O91" s="10">
        <f t="shared" si="27"/>
        <v>11863.2</v>
      </c>
      <c r="P91" s="176"/>
      <c r="Q91" s="48">
        <v>9701</v>
      </c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>
        <v>952.2</v>
      </c>
      <c r="AT91" s="48"/>
      <c r="AU91" s="48">
        <v>1210</v>
      </c>
      <c r="AV91" s="24"/>
    </row>
    <row r="92" spans="2:48" ht="12.75">
      <c r="B92" s="149">
        <v>7</v>
      </c>
      <c r="C92" s="37"/>
      <c r="D92" s="33"/>
      <c r="E92" s="88"/>
      <c r="F92" s="86"/>
      <c r="G92" s="8" t="s">
        <v>12</v>
      </c>
      <c r="H92" s="42">
        <v>27270.54</v>
      </c>
      <c r="I92" s="20">
        <v>26852.13</v>
      </c>
      <c r="J92" s="42"/>
      <c r="K92" s="213"/>
      <c r="L92" s="213"/>
      <c r="M92" s="213"/>
      <c r="N92" s="210">
        <f t="shared" si="26"/>
        <v>1342.6065</v>
      </c>
      <c r="O92" s="10">
        <f t="shared" si="27"/>
        <v>11381.2</v>
      </c>
      <c r="P92" s="98" t="s">
        <v>337</v>
      </c>
      <c r="Q92" s="48">
        <v>9701</v>
      </c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>
        <f>187+541</f>
        <v>728</v>
      </c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>
        <v>952.2</v>
      </c>
      <c r="AT92" s="48"/>
      <c r="AU92" s="48"/>
      <c r="AV92" s="24"/>
    </row>
    <row r="93" spans="2:48" ht="12.75">
      <c r="B93" s="149">
        <v>7</v>
      </c>
      <c r="C93" s="37"/>
      <c r="D93" s="33"/>
      <c r="E93" s="88"/>
      <c r="F93" s="86"/>
      <c r="G93" s="8" t="s">
        <v>13</v>
      </c>
      <c r="H93" s="42">
        <v>19908.15</v>
      </c>
      <c r="I93" s="20">
        <v>16973.86</v>
      </c>
      <c r="J93" s="42"/>
      <c r="K93" s="213"/>
      <c r="L93" s="213"/>
      <c r="M93" s="213"/>
      <c r="N93" s="210">
        <f t="shared" si="26"/>
        <v>848.6930000000001</v>
      </c>
      <c r="O93" s="10">
        <f t="shared" si="27"/>
        <v>10654.13</v>
      </c>
      <c r="P93" s="98"/>
      <c r="Q93" s="48">
        <v>9701</v>
      </c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>
        <v>953.13</v>
      </c>
      <c r="AT93" s="48"/>
      <c r="AU93" s="48"/>
      <c r="AV93" s="24"/>
    </row>
    <row r="94" spans="2:48" ht="13.5" thickBot="1">
      <c r="B94" s="150">
        <v>7</v>
      </c>
      <c r="C94" s="38"/>
      <c r="D94" s="35"/>
      <c r="E94" s="125"/>
      <c r="F94" s="87"/>
      <c r="G94" s="12" t="s">
        <v>14</v>
      </c>
      <c r="H94" s="42">
        <v>20226.98</v>
      </c>
      <c r="I94" s="21">
        <v>26642.42</v>
      </c>
      <c r="J94" s="42"/>
      <c r="K94" s="213"/>
      <c r="L94" s="213"/>
      <c r="M94" s="213"/>
      <c r="N94" s="210">
        <f t="shared" si="26"/>
        <v>1332.121</v>
      </c>
      <c r="O94" s="10">
        <f t="shared" si="27"/>
        <v>10100.13</v>
      </c>
      <c r="P94" s="108"/>
      <c r="Q94" s="49">
        <v>7678</v>
      </c>
      <c r="R94" s="49"/>
      <c r="S94" s="49"/>
      <c r="T94" s="49"/>
      <c r="U94" s="49"/>
      <c r="V94" s="49"/>
      <c r="W94" s="49"/>
      <c r="X94" s="49">
        <v>36</v>
      </c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>
        <v>953.13</v>
      </c>
      <c r="AT94" s="49"/>
      <c r="AU94" s="49">
        <v>1433</v>
      </c>
      <c r="AV94" s="128">
        <f>AV82+I82+J82-K82-L82-M82-N82-O82</f>
        <v>-135790.829</v>
      </c>
    </row>
    <row r="95" spans="2:65" s="4" customFormat="1" ht="14.25" customHeight="1" thickBot="1" thickTop="1">
      <c r="B95" s="148">
        <v>8</v>
      </c>
      <c r="C95" s="28" t="s">
        <v>18</v>
      </c>
      <c r="D95" s="29">
        <v>81</v>
      </c>
      <c r="E95" s="141" t="s">
        <v>45</v>
      </c>
      <c r="F95" s="84">
        <v>3601.3</v>
      </c>
      <c r="G95" s="50"/>
      <c r="H95" s="69">
        <v>266117.63</v>
      </c>
      <c r="I95" s="69">
        <v>261026.36000000002</v>
      </c>
      <c r="J95" s="69">
        <f>SUM(J96:J107)</f>
        <v>0</v>
      </c>
      <c r="K95" s="211">
        <f>SUM(K96:K107)</f>
        <v>12778.21</v>
      </c>
      <c r="L95" s="211">
        <f>SUM(L96:L107)</f>
        <v>12116.41</v>
      </c>
      <c r="M95" s="211">
        <f>SUM(M96:M107)</f>
        <v>11354.97</v>
      </c>
      <c r="N95" s="215">
        <f>SUM(N96:N107)</f>
        <v>13051.318000000001</v>
      </c>
      <c r="O95" s="16">
        <f>SUM(Q95:AU95)</f>
        <v>194344.9</v>
      </c>
      <c r="P95" s="113"/>
      <c r="Q95" s="11">
        <f>SUM(Q96:Q107)</f>
        <v>155041</v>
      </c>
      <c r="R95" s="11">
        <f>SUM(R96:R107)</f>
        <v>0</v>
      </c>
      <c r="S95" s="11">
        <f>SUM(S96:S107)</f>
        <v>4199</v>
      </c>
      <c r="T95" s="11">
        <f>SUM(T96:T107)</f>
        <v>0</v>
      </c>
      <c r="U95" s="11">
        <f>SUM(U96:U107)</f>
        <v>0</v>
      </c>
      <c r="V95" s="50">
        <f aca="true" t="shared" si="28" ref="V95:AM95">SUM(V96:V107)</f>
        <v>920</v>
      </c>
      <c r="W95" s="50">
        <f t="shared" si="28"/>
        <v>1146</v>
      </c>
      <c r="X95" s="50">
        <f t="shared" si="28"/>
        <v>980</v>
      </c>
      <c r="Y95" s="50">
        <f t="shared" si="28"/>
        <v>0</v>
      </c>
      <c r="Z95" s="50">
        <f>SUM(Z96:Z107)</f>
        <v>0</v>
      </c>
      <c r="AA95" s="50">
        <f>SUM(AA96:AA107)</f>
        <v>0</v>
      </c>
      <c r="AB95" s="50">
        <f t="shared" si="28"/>
        <v>0</v>
      </c>
      <c r="AC95" s="50">
        <f t="shared" si="28"/>
        <v>0</v>
      </c>
      <c r="AD95" s="50">
        <f t="shared" si="28"/>
        <v>11660</v>
      </c>
      <c r="AE95" s="50">
        <f t="shared" si="28"/>
        <v>0</v>
      </c>
      <c r="AF95" s="50">
        <f t="shared" si="28"/>
        <v>0</v>
      </c>
      <c r="AG95" s="50">
        <f t="shared" si="28"/>
        <v>118</v>
      </c>
      <c r="AH95" s="50">
        <f t="shared" si="28"/>
        <v>0</v>
      </c>
      <c r="AI95" s="50">
        <f>SUM(AI96:AI107)</f>
        <v>0</v>
      </c>
      <c r="AJ95" s="50">
        <f>SUM(AJ96:AJ107)</f>
        <v>0</v>
      </c>
      <c r="AK95" s="50">
        <f>SUM(AK96:AK107)</f>
        <v>0</v>
      </c>
      <c r="AL95" s="50">
        <f>SUM(AL96:AL107)</f>
        <v>0</v>
      </c>
      <c r="AM95" s="50">
        <f t="shared" si="28"/>
        <v>0</v>
      </c>
      <c r="AN95" s="11">
        <f aca="true" t="shared" si="29" ref="AN95:AU95">SUM(AN96:AN107)</f>
        <v>0</v>
      </c>
      <c r="AO95" s="11">
        <f t="shared" si="29"/>
        <v>4137</v>
      </c>
      <c r="AP95" s="11">
        <f t="shared" si="29"/>
        <v>0</v>
      </c>
      <c r="AQ95" s="11">
        <f>SUM(AQ96:AQ107)</f>
        <v>0</v>
      </c>
      <c r="AR95" s="11">
        <f>SUM(AR96:AR107)</f>
        <v>0</v>
      </c>
      <c r="AS95" s="11">
        <f t="shared" si="29"/>
        <v>12957.9</v>
      </c>
      <c r="AT95" s="11">
        <f t="shared" si="29"/>
        <v>0</v>
      </c>
      <c r="AU95" s="11">
        <f t="shared" si="29"/>
        <v>3186</v>
      </c>
      <c r="AV95" s="127">
        <v>-26452.86</v>
      </c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</row>
    <row r="96" spans="2:48" ht="13.5" thickTop="1">
      <c r="B96" s="149">
        <v>8</v>
      </c>
      <c r="C96" s="30" t="s">
        <v>68</v>
      </c>
      <c r="D96" s="31"/>
      <c r="E96" s="89"/>
      <c r="F96" s="85"/>
      <c r="G96" s="9" t="s">
        <v>3</v>
      </c>
      <c r="H96" s="41">
        <v>20679.71</v>
      </c>
      <c r="I96" s="19">
        <v>17607.87</v>
      </c>
      <c r="J96" s="41"/>
      <c r="K96" s="212">
        <v>12778.21</v>
      </c>
      <c r="L96" s="212">
        <v>12116.41</v>
      </c>
      <c r="M96" s="212">
        <v>11354.97</v>
      </c>
      <c r="N96" s="210">
        <f aca="true" t="shared" si="30" ref="N96:N107">I96*0.05</f>
        <v>880.3935</v>
      </c>
      <c r="O96" s="10">
        <f>SUM(Q96:AU96)</f>
        <v>21576.66</v>
      </c>
      <c r="P96" s="106"/>
      <c r="Q96" s="39">
        <v>18480</v>
      </c>
      <c r="R96" s="39"/>
      <c r="S96" s="39"/>
      <c r="T96" s="23"/>
      <c r="U96" s="23"/>
      <c r="V96" s="39"/>
      <c r="W96" s="39"/>
      <c r="X96" s="39"/>
      <c r="Y96" s="39"/>
      <c r="Z96" s="39"/>
      <c r="AA96" s="39"/>
      <c r="AB96" s="39"/>
      <c r="AC96" s="39"/>
      <c r="AD96" s="39">
        <v>2062</v>
      </c>
      <c r="AE96" s="39"/>
      <c r="AF96" s="39"/>
      <c r="AG96" s="39"/>
      <c r="AH96" s="39"/>
      <c r="AI96" s="39"/>
      <c r="AJ96" s="39"/>
      <c r="AK96" s="39"/>
      <c r="AL96" s="39"/>
      <c r="AM96" s="39"/>
      <c r="AN96" s="23"/>
      <c r="AO96" s="23"/>
      <c r="AP96" s="23"/>
      <c r="AQ96" s="23"/>
      <c r="AR96" s="23"/>
      <c r="AS96" s="23">
        <v>1034.66</v>
      </c>
      <c r="AT96" s="23"/>
      <c r="AU96" s="23"/>
      <c r="AV96" s="23"/>
    </row>
    <row r="97" spans="2:48" ht="12.75">
      <c r="B97" s="149">
        <v>8</v>
      </c>
      <c r="C97" s="37"/>
      <c r="D97" s="33"/>
      <c r="E97" s="90"/>
      <c r="F97" s="86"/>
      <c r="G97" s="8" t="s">
        <v>4</v>
      </c>
      <c r="H97" s="42">
        <v>20964.8</v>
      </c>
      <c r="I97" s="20">
        <v>20534.23</v>
      </c>
      <c r="J97" s="42"/>
      <c r="K97" s="213"/>
      <c r="L97" s="213"/>
      <c r="M97" s="213"/>
      <c r="N97" s="210">
        <f t="shared" si="30"/>
        <v>1026.7115000000001</v>
      </c>
      <c r="O97" s="10">
        <f aca="true" t="shared" si="31" ref="O97:O107">SUM(Q97:AU97)</f>
        <v>19996.78</v>
      </c>
      <c r="P97" s="101" t="s">
        <v>232</v>
      </c>
      <c r="Q97" s="48">
        <v>18480</v>
      </c>
      <c r="R97" s="48"/>
      <c r="S97" s="48">
        <v>339</v>
      </c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>
        <v>133</v>
      </c>
      <c r="AE97" s="48"/>
      <c r="AF97" s="48"/>
      <c r="AG97" s="48"/>
      <c r="AH97" s="48"/>
      <c r="AI97" s="48"/>
      <c r="AJ97" s="48"/>
      <c r="AK97" s="48"/>
      <c r="AL97" s="48"/>
      <c r="AM97" s="48"/>
      <c r="AN97" s="24"/>
      <c r="AO97" s="24"/>
      <c r="AP97" s="24"/>
      <c r="AQ97" s="24"/>
      <c r="AR97" s="24"/>
      <c r="AS97" s="24">
        <v>1044.78</v>
      </c>
      <c r="AT97" s="23"/>
      <c r="AU97" s="24"/>
      <c r="AV97" s="24"/>
    </row>
    <row r="98" spans="2:48" ht="12.75">
      <c r="B98" s="149">
        <v>8</v>
      </c>
      <c r="C98" s="37"/>
      <c r="D98" s="33"/>
      <c r="E98" s="90"/>
      <c r="F98" s="86"/>
      <c r="G98" s="8" t="s">
        <v>5</v>
      </c>
      <c r="H98" s="42">
        <v>20737.76</v>
      </c>
      <c r="I98" s="20">
        <v>18022.83</v>
      </c>
      <c r="J98" s="42"/>
      <c r="K98" s="213"/>
      <c r="L98" s="213"/>
      <c r="M98" s="213"/>
      <c r="N98" s="210">
        <f t="shared" si="30"/>
        <v>901.1415000000002</v>
      </c>
      <c r="O98" s="10">
        <f t="shared" si="31"/>
        <v>20197.64</v>
      </c>
      <c r="P98" s="179" t="s">
        <v>231</v>
      </c>
      <c r="Q98" s="48">
        <v>18480</v>
      </c>
      <c r="R98" s="48"/>
      <c r="S98" s="48">
        <v>298</v>
      </c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>
        <v>257</v>
      </c>
      <c r="AE98" s="48"/>
      <c r="AF98" s="48"/>
      <c r="AG98" s="48">
        <v>118</v>
      </c>
      <c r="AH98" s="48"/>
      <c r="AI98" s="48"/>
      <c r="AJ98" s="48"/>
      <c r="AK98" s="48"/>
      <c r="AL98" s="48"/>
      <c r="AM98" s="48"/>
      <c r="AN98" s="24"/>
      <c r="AO98" s="24"/>
      <c r="AP98" s="24"/>
      <c r="AQ98" s="24"/>
      <c r="AR98" s="24"/>
      <c r="AS98" s="24">
        <v>1044.64</v>
      </c>
      <c r="AT98" s="23"/>
      <c r="AU98" s="23"/>
      <c r="AV98" s="24"/>
    </row>
    <row r="99" spans="2:48" ht="12.75">
      <c r="B99" s="149">
        <v>8</v>
      </c>
      <c r="C99" s="37"/>
      <c r="D99" s="33"/>
      <c r="E99" s="90"/>
      <c r="F99" s="86"/>
      <c r="G99" s="8" t="s">
        <v>6</v>
      </c>
      <c r="H99" s="42">
        <v>20964.8</v>
      </c>
      <c r="I99" s="20">
        <v>17458.85</v>
      </c>
      <c r="J99" s="42"/>
      <c r="K99" s="213"/>
      <c r="L99" s="213"/>
      <c r="M99" s="213"/>
      <c r="N99" s="210">
        <f t="shared" si="30"/>
        <v>872.9425</v>
      </c>
      <c r="O99" s="10">
        <f t="shared" si="31"/>
        <v>16607.64</v>
      </c>
      <c r="P99" s="181" t="s">
        <v>190</v>
      </c>
      <c r="Q99" s="48">
        <v>12099</v>
      </c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>
        <v>2565</v>
      </c>
      <c r="AE99" s="48"/>
      <c r="AF99" s="48"/>
      <c r="AG99" s="48"/>
      <c r="AH99" s="48"/>
      <c r="AI99" s="48"/>
      <c r="AJ99" s="48"/>
      <c r="AK99" s="48"/>
      <c r="AL99" s="48"/>
      <c r="AM99" s="48"/>
      <c r="AN99" s="24"/>
      <c r="AO99" s="24"/>
      <c r="AP99" s="24"/>
      <c r="AQ99" s="24"/>
      <c r="AR99" s="24"/>
      <c r="AS99" s="24">
        <v>1044.64</v>
      </c>
      <c r="AT99" s="24"/>
      <c r="AU99" s="24">
        <v>899</v>
      </c>
      <c r="AV99" s="24"/>
    </row>
    <row r="100" spans="2:48" ht="12.75">
      <c r="B100" s="149">
        <v>8</v>
      </c>
      <c r="C100" s="37"/>
      <c r="D100" s="33"/>
      <c r="E100" s="90"/>
      <c r="F100" s="86"/>
      <c r="G100" s="8" t="s">
        <v>7</v>
      </c>
      <c r="H100" s="42">
        <v>20964.8</v>
      </c>
      <c r="I100" s="20">
        <v>22042.92</v>
      </c>
      <c r="J100" s="42"/>
      <c r="K100" s="213"/>
      <c r="L100" s="213"/>
      <c r="M100" s="213"/>
      <c r="N100" s="210">
        <f t="shared" si="30"/>
        <v>1102.146</v>
      </c>
      <c r="O100" s="10">
        <f t="shared" si="31"/>
        <v>16574.64</v>
      </c>
      <c r="P100" s="181" t="s">
        <v>221</v>
      </c>
      <c r="Q100" s="48">
        <v>11037</v>
      </c>
      <c r="R100" s="48"/>
      <c r="S100" s="48"/>
      <c r="T100" s="48"/>
      <c r="U100" s="48"/>
      <c r="V100" s="48"/>
      <c r="W100" s="48">
        <v>1146</v>
      </c>
      <c r="X100" s="48"/>
      <c r="Y100" s="48"/>
      <c r="Z100" s="48"/>
      <c r="AA100" s="48"/>
      <c r="AB100" s="48"/>
      <c r="AC100" s="48"/>
      <c r="AD100" s="48">
        <v>3347</v>
      </c>
      <c r="AE100" s="48"/>
      <c r="AF100" s="48"/>
      <c r="AG100" s="48"/>
      <c r="AH100" s="48"/>
      <c r="AI100" s="48"/>
      <c r="AJ100" s="48"/>
      <c r="AK100" s="48"/>
      <c r="AL100" s="48"/>
      <c r="AM100" s="48"/>
      <c r="AN100" s="24"/>
      <c r="AO100" s="24"/>
      <c r="AP100" s="24"/>
      <c r="AQ100" s="24"/>
      <c r="AR100" s="24"/>
      <c r="AS100" s="24">
        <v>1044.64</v>
      </c>
      <c r="AT100" s="23"/>
      <c r="AU100" s="24"/>
      <c r="AV100" s="24"/>
    </row>
    <row r="101" spans="2:48" ht="12.75">
      <c r="B101" s="149">
        <v>8</v>
      </c>
      <c r="C101" s="37"/>
      <c r="D101" s="33"/>
      <c r="E101" s="90"/>
      <c r="F101" s="86"/>
      <c r="G101" s="8" t="s">
        <v>8</v>
      </c>
      <c r="H101" s="42">
        <v>20964.22</v>
      </c>
      <c r="I101" s="20">
        <v>20812.65</v>
      </c>
      <c r="J101" s="42"/>
      <c r="K101" s="213"/>
      <c r="L101" s="213"/>
      <c r="M101" s="213"/>
      <c r="N101" s="210">
        <f t="shared" si="30"/>
        <v>1040.6325000000002</v>
      </c>
      <c r="O101" s="10">
        <f t="shared" si="31"/>
        <v>19692.64</v>
      </c>
      <c r="P101" s="101" t="s">
        <v>285</v>
      </c>
      <c r="Q101" s="48">
        <v>11037</v>
      </c>
      <c r="R101" s="48"/>
      <c r="S101" s="48">
        <v>2780</v>
      </c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24"/>
      <c r="AO101" s="24">
        <v>4137</v>
      </c>
      <c r="AP101" s="24"/>
      <c r="AQ101" s="24"/>
      <c r="AR101" s="24"/>
      <c r="AS101" s="24">
        <v>1044.64</v>
      </c>
      <c r="AT101" s="24"/>
      <c r="AU101" s="24">
        <v>694</v>
      </c>
      <c r="AV101" s="24"/>
    </row>
    <row r="102" spans="2:48" ht="12.75">
      <c r="B102" s="149">
        <v>8</v>
      </c>
      <c r="C102" s="37"/>
      <c r="D102" s="33"/>
      <c r="E102" s="90"/>
      <c r="F102" s="86"/>
      <c r="G102" s="8" t="s">
        <v>9</v>
      </c>
      <c r="H102" s="42">
        <v>23449.69</v>
      </c>
      <c r="I102" s="20">
        <v>25028.67</v>
      </c>
      <c r="J102" s="42"/>
      <c r="K102" s="213"/>
      <c r="L102" s="213"/>
      <c r="M102" s="213"/>
      <c r="N102" s="210">
        <f t="shared" si="30"/>
        <v>1251.4335</v>
      </c>
      <c r="O102" s="10">
        <f t="shared" si="31"/>
        <v>12153.65</v>
      </c>
      <c r="P102" s="182"/>
      <c r="Q102" s="48">
        <v>11037</v>
      </c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24"/>
      <c r="AO102" s="24"/>
      <c r="AP102" s="24"/>
      <c r="AQ102" s="24"/>
      <c r="AR102" s="24"/>
      <c r="AS102" s="24">
        <v>1116.65</v>
      </c>
      <c r="AT102" s="24"/>
      <c r="AU102" s="24"/>
      <c r="AV102" s="24"/>
    </row>
    <row r="103" spans="2:48" ht="12.75">
      <c r="B103" s="149">
        <v>8</v>
      </c>
      <c r="C103" s="37"/>
      <c r="D103" s="33"/>
      <c r="E103" s="90"/>
      <c r="F103" s="86"/>
      <c r="G103" s="8" t="s">
        <v>10</v>
      </c>
      <c r="H103" s="42">
        <v>23449.69</v>
      </c>
      <c r="I103" s="20">
        <v>26718.67</v>
      </c>
      <c r="J103" s="42"/>
      <c r="K103" s="213"/>
      <c r="L103" s="213"/>
      <c r="M103" s="213"/>
      <c r="N103" s="210">
        <f t="shared" si="30"/>
        <v>1335.9335</v>
      </c>
      <c r="O103" s="10">
        <f t="shared" si="31"/>
        <v>12153.65</v>
      </c>
      <c r="P103" s="181"/>
      <c r="Q103" s="48">
        <v>11037</v>
      </c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24"/>
      <c r="AO103" s="24"/>
      <c r="AP103" s="24"/>
      <c r="AQ103" s="24"/>
      <c r="AR103" s="24"/>
      <c r="AS103" s="24">
        <v>1116.65</v>
      </c>
      <c r="AT103" s="24"/>
      <c r="AU103" s="24"/>
      <c r="AV103" s="24"/>
    </row>
    <row r="104" spans="2:48" ht="12.75">
      <c r="B104" s="149">
        <v>8</v>
      </c>
      <c r="C104" s="37"/>
      <c r="D104" s="33"/>
      <c r="E104" s="90"/>
      <c r="F104" s="86"/>
      <c r="G104" s="8" t="s">
        <v>11</v>
      </c>
      <c r="H104" s="42">
        <v>23449.69</v>
      </c>
      <c r="I104" s="20">
        <v>17749.44</v>
      </c>
      <c r="J104" s="42"/>
      <c r="K104" s="213"/>
      <c r="L104" s="213"/>
      <c r="M104" s="213"/>
      <c r="N104" s="210">
        <f t="shared" si="30"/>
        <v>887.472</v>
      </c>
      <c r="O104" s="10">
        <f t="shared" si="31"/>
        <v>15385.65</v>
      </c>
      <c r="P104" s="101" t="s">
        <v>316</v>
      </c>
      <c r="Q104" s="48">
        <v>11037</v>
      </c>
      <c r="R104" s="48"/>
      <c r="S104" s="48">
        <v>433</v>
      </c>
      <c r="T104" s="24"/>
      <c r="U104" s="24"/>
      <c r="V104" s="48">
        <v>920</v>
      </c>
      <c r="W104" s="48"/>
      <c r="X104" s="48">
        <v>980</v>
      </c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24"/>
      <c r="AO104" s="24"/>
      <c r="AP104" s="24"/>
      <c r="AQ104" s="24"/>
      <c r="AR104" s="24"/>
      <c r="AS104" s="24">
        <v>1116.65</v>
      </c>
      <c r="AT104" s="24"/>
      <c r="AU104" s="24">
        <v>899</v>
      </c>
      <c r="AV104" s="24"/>
    </row>
    <row r="105" spans="2:48" ht="12.75">
      <c r="B105" s="149">
        <v>8</v>
      </c>
      <c r="C105" s="37"/>
      <c r="D105" s="33"/>
      <c r="E105" s="90"/>
      <c r="F105" s="86"/>
      <c r="G105" s="8" t="s">
        <v>12</v>
      </c>
      <c r="H105" s="42">
        <v>23521.09</v>
      </c>
      <c r="I105" s="20">
        <v>33032.56</v>
      </c>
      <c r="J105" s="42"/>
      <c r="K105" s="213"/>
      <c r="L105" s="213"/>
      <c r="M105" s="213"/>
      <c r="N105" s="210">
        <f t="shared" si="30"/>
        <v>1651.628</v>
      </c>
      <c r="O105" s="10">
        <f t="shared" si="31"/>
        <v>15449.65</v>
      </c>
      <c r="P105" s="101" t="s">
        <v>313</v>
      </c>
      <c r="Q105" s="48">
        <v>11037</v>
      </c>
      <c r="R105" s="48"/>
      <c r="S105" s="48"/>
      <c r="T105" s="24"/>
      <c r="U105" s="24"/>
      <c r="V105" s="48"/>
      <c r="W105" s="48"/>
      <c r="X105" s="48"/>
      <c r="Y105" s="48"/>
      <c r="Z105" s="48"/>
      <c r="AA105" s="48"/>
      <c r="AB105" s="48"/>
      <c r="AC105" s="48"/>
      <c r="AD105" s="48">
        <v>3296</v>
      </c>
      <c r="AE105" s="48"/>
      <c r="AF105" s="48"/>
      <c r="AG105" s="48"/>
      <c r="AH105" s="48"/>
      <c r="AI105" s="48"/>
      <c r="AJ105" s="48"/>
      <c r="AK105" s="48"/>
      <c r="AL105" s="48"/>
      <c r="AM105" s="48"/>
      <c r="AN105" s="24"/>
      <c r="AO105" s="24"/>
      <c r="AP105" s="24"/>
      <c r="AQ105" s="24"/>
      <c r="AR105" s="24"/>
      <c r="AS105" s="24">
        <v>1116.65</v>
      </c>
      <c r="AT105" s="24"/>
      <c r="AU105" s="24"/>
      <c r="AV105" s="24"/>
    </row>
    <row r="106" spans="2:48" ht="12.75">
      <c r="B106" s="149">
        <v>8</v>
      </c>
      <c r="C106" s="37"/>
      <c r="D106" s="33"/>
      <c r="E106" s="90"/>
      <c r="F106" s="86"/>
      <c r="G106" s="8" t="s">
        <v>13</v>
      </c>
      <c r="H106" s="42">
        <v>23485.69</v>
      </c>
      <c r="I106" s="20">
        <v>16734.57</v>
      </c>
      <c r="J106" s="42"/>
      <c r="K106" s="213"/>
      <c r="L106" s="213"/>
      <c r="M106" s="213"/>
      <c r="N106" s="210">
        <f t="shared" si="30"/>
        <v>836.7285</v>
      </c>
      <c r="O106" s="10">
        <f t="shared" si="31"/>
        <v>12502.65</v>
      </c>
      <c r="P106" s="101" t="s">
        <v>351</v>
      </c>
      <c r="Q106" s="48">
        <v>11037</v>
      </c>
      <c r="R106" s="48"/>
      <c r="S106" s="48">
        <v>349</v>
      </c>
      <c r="T106" s="24"/>
      <c r="U106" s="24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24"/>
      <c r="AO106" s="24"/>
      <c r="AP106" s="24"/>
      <c r="AQ106" s="24"/>
      <c r="AR106" s="24"/>
      <c r="AS106" s="24">
        <v>1116.65</v>
      </c>
      <c r="AT106" s="24"/>
      <c r="AU106" s="24"/>
      <c r="AV106" s="24"/>
    </row>
    <row r="107" spans="2:48" ht="13.5" thickBot="1">
      <c r="B107" s="150">
        <v>8</v>
      </c>
      <c r="C107" s="38"/>
      <c r="D107" s="35"/>
      <c r="E107" s="142"/>
      <c r="F107" s="87"/>
      <c r="G107" s="12" t="s">
        <v>14</v>
      </c>
      <c r="H107" s="42">
        <v>23485.69</v>
      </c>
      <c r="I107" s="21">
        <v>25283.1</v>
      </c>
      <c r="J107" s="42"/>
      <c r="K107" s="213"/>
      <c r="L107" s="213"/>
      <c r="M107" s="213"/>
      <c r="N107" s="210">
        <f t="shared" si="30"/>
        <v>1264.155</v>
      </c>
      <c r="O107" s="10">
        <f t="shared" si="31"/>
        <v>12053.65</v>
      </c>
      <c r="P107" s="104"/>
      <c r="Q107" s="49">
        <v>10243</v>
      </c>
      <c r="R107" s="49"/>
      <c r="S107" s="49"/>
      <c r="T107" s="25"/>
      <c r="U107" s="25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25"/>
      <c r="AO107" s="25"/>
      <c r="AP107" s="25"/>
      <c r="AQ107" s="25"/>
      <c r="AR107" s="25"/>
      <c r="AS107" s="25">
        <v>1116.65</v>
      </c>
      <c r="AT107" s="25"/>
      <c r="AU107" s="25">
        <v>694</v>
      </c>
      <c r="AV107" s="128">
        <f>AV95+I95+J95-K95-L95-M95-N95-O95</f>
        <v>-9072.30799999999</v>
      </c>
    </row>
    <row r="108" spans="2:65" s="4" customFormat="1" ht="14.25" thickBot="1" thickTop="1">
      <c r="B108" s="148">
        <v>9</v>
      </c>
      <c r="C108" s="28" t="s">
        <v>19</v>
      </c>
      <c r="D108" s="29">
        <v>56</v>
      </c>
      <c r="E108" s="141" t="s">
        <v>45</v>
      </c>
      <c r="F108" s="84">
        <v>2547.6</v>
      </c>
      <c r="G108" s="50"/>
      <c r="H108" s="69">
        <v>142115.48</v>
      </c>
      <c r="I108" s="69">
        <v>120144.88999999998</v>
      </c>
      <c r="J108" s="69">
        <f>SUM(J109:J120)</f>
        <v>0</v>
      </c>
      <c r="K108" s="211">
        <f>SUM(K109:K120)</f>
        <v>9094.22</v>
      </c>
      <c r="L108" s="211">
        <f>SUM(L109:L120)</f>
        <v>8808.61</v>
      </c>
      <c r="M108" s="211">
        <f>SUM(M109:M120)</f>
        <v>5612.46</v>
      </c>
      <c r="N108" s="215">
        <f>SUM(N109:N120)</f>
        <v>6007.244500000001</v>
      </c>
      <c r="O108" s="16">
        <f>SUM(Q108:AU108)</f>
        <v>123175.67</v>
      </c>
      <c r="P108" s="99"/>
      <c r="Q108" s="11">
        <f>SUM(Q109:Q120)</f>
        <v>97376</v>
      </c>
      <c r="R108" s="11">
        <f>SUM(R109:R120)</f>
        <v>0</v>
      </c>
      <c r="S108" s="11">
        <f>SUM(S109:S120)</f>
        <v>2084</v>
      </c>
      <c r="T108" s="11">
        <f>SUM(T109:T120)</f>
        <v>2196</v>
      </c>
      <c r="U108" s="11">
        <f>SUM(U109:U120)</f>
        <v>121</v>
      </c>
      <c r="V108" s="50">
        <f aca="true" t="shared" si="32" ref="V108:AM108">SUM(V109:V120)</f>
        <v>0</v>
      </c>
      <c r="W108" s="50">
        <f t="shared" si="32"/>
        <v>1871</v>
      </c>
      <c r="X108" s="50">
        <f t="shared" si="32"/>
        <v>2397</v>
      </c>
      <c r="Y108" s="50">
        <f t="shared" si="32"/>
        <v>3638</v>
      </c>
      <c r="Z108" s="50">
        <f>SUM(Z109:Z120)</f>
        <v>0</v>
      </c>
      <c r="AA108" s="50">
        <f>SUM(AA109:AA120)</f>
        <v>0</v>
      </c>
      <c r="AB108" s="50">
        <f t="shared" si="32"/>
        <v>0</v>
      </c>
      <c r="AC108" s="50">
        <f t="shared" si="32"/>
        <v>0</v>
      </c>
      <c r="AD108" s="50">
        <f t="shared" si="32"/>
        <v>904</v>
      </c>
      <c r="AE108" s="50">
        <f t="shared" si="32"/>
        <v>0</v>
      </c>
      <c r="AF108" s="50">
        <f t="shared" si="32"/>
        <v>0</v>
      </c>
      <c r="AG108" s="50">
        <f t="shared" si="32"/>
        <v>0</v>
      </c>
      <c r="AH108" s="50">
        <f t="shared" si="32"/>
        <v>0</v>
      </c>
      <c r="AI108" s="50">
        <f>SUM(AI109:AI120)</f>
        <v>0</v>
      </c>
      <c r="AJ108" s="50">
        <f>SUM(AJ109:AJ120)</f>
        <v>0</v>
      </c>
      <c r="AK108" s="50">
        <f>SUM(AK109:AK120)</f>
        <v>0</v>
      </c>
      <c r="AL108" s="50">
        <f>SUM(AL109:AL120)</f>
        <v>0</v>
      </c>
      <c r="AM108" s="50">
        <f t="shared" si="32"/>
        <v>0</v>
      </c>
      <c r="AN108" s="11">
        <f aca="true" t="shared" si="33" ref="AN108:AU108">SUM(AN109:AN120)</f>
        <v>0</v>
      </c>
      <c r="AO108" s="11">
        <f t="shared" si="33"/>
        <v>0</v>
      </c>
      <c r="AP108" s="11">
        <f t="shared" si="33"/>
        <v>0</v>
      </c>
      <c r="AQ108" s="11">
        <f>SUM(AQ109:AQ120)</f>
        <v>0</v>
      </c>
      <c r="AR108" s="11">
        <f>SUM(AR109:AR120)</f>
        <v>0</v>
      </c>
      <c r="AS108" s="11">
        <f t="shared" si="33"/>
        <v>9092.67</v>
      </c>
      <c r="AT108" s="11">
        <f t="shared" si="33"/>
        <v>0</v>
      </c>
      <c r="AU108" s="11">
        <f t="shared" si="33"/>
        <v>3496</v>
      </c>
      <c r="AV108" s="127">
        <v>-53873.89</v>
      </c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2:48" ht="13.5" thickTop="1">
      <c r="B109" s="149">
        <v>9</v>
      </c>
      <c r="C109" s="30" t="s">
        <v>68</v>
      </c>
      <c r="D109" s="31"/>
      <c r="E109" s="124"/>
      <c r="F109" s="85"/>
      <c r="G109" s="9" t="s">
        <v>3</v>
      </c>
      <c r="H109" s="41">
        <v>9139.02</v>
      </c>
      <c r="I109" s="19">
        <v>6121.83</v>
      </c>
      <c r="J109" s="41"/>
      <c r="K109" s="212">
        <v>9094.22</v>
      </c>
      <c r="L109" s="212">
        <v>8808.61</v>
      </c>
      <c r="M109" s="212">
        <v>5612.46</v>
      </c>
      <c r="N109" s="210">
        <f aca="true" t="shared" si="34" ref="N109:N120">I109*0.05</f>
        <v>306.0915</v>
      </c>
      <c r="O109" s="10">
        <f>SUM(Q109:AU109)</f>
        <v>10409.13</v>
      </c>
      <c r="P109" s="106" t="s">
        <v>230</v>
      </c>
      <c r="Q109" s="39">
        <v>9300</v>
      </c>
      <c r="R109" s="23"/>
      <c r="S109" s="23"/>
      <c r="T109" s="23"/>
      <c r="U109" s="23"/>
      <c r="V109" s="39"/>
      <c r="W109" s="39"/>
      <c r="X109" s="39"/>
      <c r="Y109" s="39"/>
      <c r="Z109" s="39"/>
      <c r="AA109" s="39"/>
      <c r="AB109" s="39"/>
      <c r="AC109" s="39"/>
      <c r="AD109" s="39">
        <f>303+31+51</f>
        <v>385</v>
      </c>
      <c r="AE109" s="39"/>
      <c r="AF109" s="39"/>
      <c r="AG109" s="39"/>
      <c r="AH109" s="39"/>
      <c r="AI109" s="39"/>
      <c r="AJ109" s="39"/>
      <c r="AK109" s="39"/>
      <c r="AL109" s="39"/>
      <c r="AM109" s="39"/>
      <c r="AN109" s="23"/>
      <c r="AO109" s="23"/>
      <c r="AP109" s="23"/>
      <c r="AQ109" s="23"/>
      <c r="AR109" s="23"/>
      <c r="AS109" s="23">
        <v>724.13</v>
      </c>
      <c r="AT109" s="23"/>
      <c r="AU109" s="23"/>
      <c r="AV109" s="23"/>
    </row>
    <row r="110" spans="2:48" ht="12.75">
      <c r="B110" s="58">
        <v>9</v>
      </c>
      <c r="C110" s="37"/>
      <c r="D110" s="33"/>
      <c r="E110" s="88"/>
      <c r="F110" s="86"/>
      <c r="G110" s="8" t="s">
        <v>4</v>
      </c>
      <c r="H110" s="42">
        <v>9322.35</v>
      </c>
      <c r="I110" s="20">
        <v>5181.53</v>
      </c>
      <c r="J110" s="42"/>
      <c r="K110" s="213"/>
      <c r="L110" s="213"/>
      <c r="M110" s="213"/>
      <c r="N110" s="210">
        <f t="shared" si="34"/>
        <v>259.0765</v>
      </c>
      <c r="O110" s="10">
        <f aca="true" t="shared" si="35" ref="O110:O120">SUM(Q110:AU110)</f>
        <v>10024.13</v>
      </c>
      <c r="P110" s="101"/>
      <c r="Q110" s="48">
        <v>9300</v>
      </c>
      <c r="R110" s="24"/>
      <c r="S110" s="24"/>
      <c r="T110" s="24"/>
      <c r="U110" s="24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24"/>
      <c r="AO110" s="24"/>
      <c r="AP110" s="24"/>
      <c r="AQ110" s="24"/>
      <c r="AR110" s="24"/>
      <c r="AS110" s="24">
        <v>724.13</v>
      </c>
      <c r="AT110" s="23"/>
      <c r="AU110" s="24"/>
      <c r="AV110" s="24"/>
    </row>
    <row r="111" spans="2:48" ht="12.75">
      <c r="B111" s="58">
        <v>9</v>
      </c>
      <c r="C111" s="37"/>
      <c r="D111" s="33"/>
      <c r="E111" s="88"/>
      <c r="F111" s="86"/>
      <c r="G111" s="8" t="s">
        <v>5</v>
      </c>
      <c r="H111" s="42">
        <v>9322.35</v>
      </c>
      <c r="I111" s="20">
        <v>7850.46</v>
      </c>
      <c r="J111" s="42"/>
      <c r="K111" s="213"/>
      <c r="L111" s="213"/>
      <c r="M111" s="213"/>
      <c r="N111" s="210">
        <f t="shared" si="34"/>
        <v>392.523</v>
      </c>
      <c r="O111" s="10">
        <f t="shared" si="35"/>
        <v>10110.26</v>
      </c>
      <c r="P111" s="100" t="s">
        <v>229</v>
      </c>
      <c r="Q111" s="48">
        <v>9300</v>
      </c>
      <c r="R111" s="24"/>
      <c r="S111" s="45"/>
      <c r="T111" s="24"/>
      <c r="U111" s="24"/>
      <c r="V111" s="48"/>
      <c r="W111" s="48"/>
      <c r="X111" s="48"/>
      <c r="Y111" s="48"/>
      <c r="Z111" s="48"/>
      <c r="AA111" s="48"/>
      <c r="AB111" s="48"/>
      <c r="AC111" s="48"/>
      <c r="AD111" s="48">
        <v>77</v>
      </c>
      <c r="AE111" s="48"/>
      <c r="AF111" s="48"/>
      <c r="AG111" s="48"/>
      <c r="AH111" s="48"/>
      <c r="AI111" s="48"/>
      <c r="AJ111" s="48"/>
      <c r="AK111" s="48"/>
      <c r="AL111" s="48"/>
      <c r="AM111" s="48"/>
      <c r="AN111" s="24"/>
      <c r="AO111" s="24"/>
      <c r="AP111" s="24"/>
      <c r="AQ111" s="24"/>
      <c r="AR111" s="24"/>
      <c r="AS111" s="24">
        <v>733.26</v>
      </c>
      <c r="AT111" s="23"/>
      <c r="AU111" s="23"/>
      <c r="AV111" s="24"/>
    </row>
    <row r="112" spans="2:48" ht="12.75">
      <c r="B112" s="58">
        <v>9</v>
      </c>
      <c r="C112" s="37"/>
      <c r="D112" s="33"/>
      <c r="E112" s="88"/>
      <c r="F112" s="86"/>
      <c r="G112" s="8" t="s">
        <v>6</v>
      </c>
      <c r="H112" s="42">
        <v>8801.09</v>
      </c>
      <c r="I112" s="20">
        <v>5825.84</v>
      </c>
      <c r="J112" s="42"/>
      <c r="K112" s="213"/>
      <c r="L112" s="213"/>
      <c r="M112" s="213"/>
      <c r="N112" s="210">
        <f t="shared" si="34"/>
        <v>291.29200000000003</v>
      </c>
      <c r="O112" s="10">
        <f t="shared" si="35"/>
        <v>11912.26</v>
      </c>
      <c r="P112" s="101" t="s">
        <v>177</v>
      </c>
      <c r="Q112" s="48">
        <v>8374</v>
      </c>
      <c r="R112" s="24"/>
      <c r="S112" s="24"/>
      <c r="T112" s="48">
        <v>1898</v>
      </c>
      <c r="U112" s="24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24"/>
      <c r="AO112" s="24"/>
      <c r="AP112" s="24"/>
      <c r="AQ112" s="24"/>
      <c r="AR112" s="24"/>
      <c r="AS112" s="24">
        <v>733.26</v>
      </c>
      <c r="AT112" s="24"/>
      <c r="AU112" s="24">
        <v>907</v>
      </c>
      <c r="AV112" s="24"/>
    </row>
    <row r="113" spans="2:48" ht="12.75">
      <c r="B113" s="58">
        <v>9</v>
      </c>
      <c r="C113" s="37"/>
      <c r="D113" s="33"/>
      <c r="E113" s="88"/>
      <c r="F113" s="86"/>
      <c r="G113" s="8" t="s">
        <v>7</v>
      </c>
      <c r="H113" s="42">
        <v>9324.54</v>
      </c>
      <c r="I113" s="20">
        <v>14931.94</v>
      </c>
      <c r="J113" s="42"/>
      <c r="K113" s="213"/>
      <c r="L113" s="213"/>
      <c r="M113" s="213"/>
      <c r="N113" s="210">
        <f t="shared" si="34"/>
        <v>746.5970000000001</v>
      </c>
      <c r="O113" s="10">
        <f t="shared" si="35"/>
        <v>10325.26</v>
      </c>
      <c r="P113" s="101"/>
      <c r="Q113" s="48">
        <v>7721</v>
      </c>
      <c r="R113" s="48"/>
      <c r="S113" s="48"/>
      <c r="T113" s="48"/>
      <c r="U113" s="48"/>
      <c r="V113" s="48"/>
      <c r="W113" s="48">
        <v>1871</v>
      </c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24"/>
      <c r="AO113" s="24"/>
      <c r="AP113" s="24"/>
      <c r="AQ113" s="24"/>
      <c r="AR113" s="24"/>
      <c r="AS113" s="24">
        <v>733.26</v>
      </c>
      <c r="AT113" s="23"/>
      <c r="AU113" s="24"/>
      <c r="AV113" s="24"/>
    </row>
    <row r="114" spans="2:48" ht="12.75">
      <c r="B114" s="58">
        <v>9</v>
      </c>
      <c r="C114" s="37"/>
      <c r="D114" s="33"/>
      <c r="E114" s="88"/>
      <c r="F114" s="86"/>
      <c r="G114" s="8" t="s">
        <v>8</v>
      </c>
      <c r="H114" s="42">
        <v>9338.28</v>
      </c>
      <c r="I114" s="20">
        <v>9448.75</v>
      </c>
      <c r="J114" s="42"/>
      <c r="K114" s="213"/>
      <c r="L114" s="213"/>
      <c r="M114" s="213"/>
      <c r="N114" s="210">
        <f t="shared" si="34"/>
        <v>472.4375</v>
      </c>
      <c r="O114" s="10">
        <f t="shared" si="35"/>
        <v>9593.61</v>
      </c>
      <c r="P114" s="101" t="s">
        <v>289</v>
      </c>
      <c r="Q114" s="48">
        <v>7721</v>
      </c>
      <c r="R114" s="24"/>
      <c r="S114" s="24"/>
      <c r="T114" s="48">
        <v>298</v>
      </c>
      <c r="U114" s="24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24"/>
      <c r="AO114" s="24"/>
      <c r="AP114" s="24"/>
      <c r="AQ114" s="24"/>
      <c r="AR114" s="24"/>
      <c r="AS114" s="24">
        <v>733.61</v>
      </c>
      <c r="AT114" s="24"/>
      <c r="AU114" s="24">
        <v>841</v>
      </c>
      <c r="AV114" s="24"/>
    </row>
    <row r="115" spans="2:48" ht="12.75">
      <c r="B115" s="58">
        <v>9</v>
      </c>
      <c r="C115" s="37"/>
      <c r="D115" s="33"/>
      <c r="E115" s="88"/>
      <c r="F115" s="86"/>
      <c r="G115" s="8" t="s">
        <v>9</v>
      </c>
      <c r="H115" s="42">
        <v>10463.31</v>
      </c>
      <c r="I115" s="20">
        <v>9098.88</v>
      </c>
      <c r="J115" s="42"/>
      <c r="K115" s="213"/>
      <c r="L115" s="213"/>
      <c r="M115" s="213"/>
      <c r="N115" s="210">
        <f t="shared" si="34"/>
        <v>454.94399999999996</v>
      </c>
      <c r="O115" s="10">
        <f t="shared" si="35"/>
        <v>8506.17</v>
      </c>
      <c r="P115" s="101"/>
      <c r="Q115" s="48">
        <v>7721</v>
      </c>
      <c r="R115" s="24"/>
      <c r="S115" s="24"/>
      <c r="T115" s="24"/>
      <c r="U115" s="24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24"/>
      <c r="AO115" s="24"/>
      <c r="AP115" s="24"/>
      <c r="AQ115" s="24"/>
      <c r="AR115" s="24"/>
      <c r="AS115" s="24">
        <v>785.17</v>
      </c>
      <c r="AT115" s="24"/>
      <c r="AU115" s="24"/>
      <c r="AV115" s="24"/>
    </row>
    <row r="116" spans="2:48" ht="12.75">
      <c r="B116" s="58">
        <v>9</v>
      </c>
      <c r="C116" s="37"/>
      <c r="D116" s="33"/>
      <c r="E116" s="88"/>
      <c r="F116" s="86"/>
      <c r="G116" s="8" t="s">
        <v>10</v>
      </c>
      <c r="H116" s="42">
        <v>10308.08</v>
      </c>
      <c r="I116" s="20">
        <v>9658.15</v>
      </c>
      <c r="J116" s="42"/>
      <c r="K116" s="213"/>
      <c r="L116" s="213"/>
      <c r="M116" s="213"/>
      <c r="N116" s="210">
        <f t="shared" si="34"/>
        <v>482.9075</v>
      </c>
      <c r="O116" s="10">
        <f t="shared" si="35"/>
        <v>8506.17</v>
      </c>
      <c r="P116" s="181"/>
      <c r="Q116" s="48">
        <v>7721</v>
      </c>
      <c r="R116" s="24"/>
      <c r="S116" s="24"/>
      <c r="T116" s="24"/>
      <c r="U116" s="24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24"/>
      <c r="AO116" s="24"/>
      <c r="AP116" s="24"/>
      <c r="AQ116" s="24"/>
      <c r="AR116" s="24"/>
      <c r="AS116" s="24">
        <v>785.17</v>
      </c>
      <c r="AT116" s="24"/>
      <c r="AU116" s="24"/>
      <c r="AV116" s="24"/>
    </row>
    <row r="117" spans="2:48" ht="12.75">
      <c r="B117" s="58">
        <v>9</v>
      </c>
      <c r="C117" s="37"/>
      <c r="D117" s="33"/>
      <c r="E117" s="88"/>
      <c r="F117" s="86"/>
      <c r="G117" s="8" t="s">
        <v>11</v>
      </c>
      <c r="H117" s="42">
        <v>10501.5</v>
      </c>
      <c r="I117" s="20">
        <v>6595.44</v>
      </c>
      <c r="J117" s="42"/>
      <c r="K117" s="213"/>
      <c r="L117" s="213"/>
      <c r="M117" s="213"/>
      <c r="N117" s="210">
        <f t="shared" si="34"/>
        <v>329.772</v>
      </c>
      <c r="O117" s="10">
        <f t="shared" si="35"/>
        <v>10414.17</v>
      </c>
      <c r="P117" s="101"/>
      <c r="Q117" s="48">
        <v>7721</v>
      </c>
      <c r="R117" s="24"/>
      <c r="S117" s="24"/>
      <c r="T117" s="24"/>
      <c r="U117" s="24"/>
      <c r="V117" s="48"/>
      <c r="W117" s="48"/>
      <c r="X117" s="48">
        <v>559</v>
      </c>
      <c r="Y117" s="48"/>
      <c r="Z117" s="48"/>
      <c r="AA117" s="48"/>
      <c r="AB117" s="48"/>
      <c r="AC117" s="48"/>
      <c r="AD117" s="48">
        <v>442</v>
      </c>
      <c r="AE117" s="48"/>
      <c r="AF117" s="48"/>
      <c r="AG117" s="48"/>
      <c r="AH117" s="48"/>
      <c r="AI117" s="48"/>
      <c r="AJ117" s="48"/>
      <c r="AK117" s="48"/>
      <c r="AL117" s="48"/>
      <c r="AM117" s="48"/>
      <c r="AN117" s="24"/>
      <c r="AO117" s="24"/>
      <c r="AP117" s="24"/>
      <c r="AQ117" s="24"/>
      <c r="AR117" s="24"/>
      <c r="AS117" s="24">
        <v>785.17</v>
      </c>
      <c r="AT117" s="24"/>
      <c r="AU117" s="24">
        <v>907</v>
      </c>
      <c r="AV117" s="24"/>
    </row>
    <row r="118" spans="2:48" ht="12.75">
      <c r="B118" s="58">
        <v>9</v>
      </c>
      <c r="C118" s="37"/>
      <c r="D118" s="33"/>
      <c r="E118" s="88"/>
      <c r="F118" s="86"/>
      <c r="G118" s="8" t="s">
        <v>12</v>
      </c>
      <c r="H118" s="42">
        <v>22567.28</v>
      </c>
      <c r="I118" s="20">
        <v>17950.64</v>
      </c>
      <c r="J118" s="42"/>
      <c r="K118" s="213"/>
      <c r="L118" s="213"/>
      <c r="M118" s="213"/>
      <c r="N118" s="210">
        <f t="shared" si="34"/>
        <v>897.532</v>
      </c>
      <c r="O118" s="10">
        <f t="shared" si="35"/>
        <v>10344.17</v>
      </c>
      <c r="P118" s="101" t="s">
        <v>328</v>
      </c>
      <c r="Q118" s="48">
        <v>7721</v>
      </c>
      <c r="R118" s="24"/>
      <c r="S118" s="24"/>
      <c r="T118" s="24"/>
      <c r="U118" s="24"/>
      <c r="V118" s="48"/>
      <c r="W118" s="48"/>
      <c r="X118" s="48">
        <f>1297+541</f>
        <v>1838</v>
      </c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24"/>
      <c r="AO118" s="24"/>
      <c r="AP118" s="24"/>
      <c r="AQ118" s="24"/>
      <c r="AR118" s="24"/>
      <c r="AS118" s="24">
        <v>785.17</v>
      </c>
      <c r="AT118" s="24"/>
      <c r="AU118" s="24"/>
      <c r="AV118" s="24"/>
    </row>
    <row r="119" spans="2:48" ht="12.75">
      <c r="B119" s="58">
        <v>9</v>
      </c>
      <c r="C119" s="37"/>
      <c r="D119" s="33"/>
      <c r="E119" s="88"/>
      <c r="F119" s="86"/>
      <c r="G119" s="8" t="s">
        <v>13</v>
      </c>
      <c r="H119" s="42">
        <v>16513.84</v>
      </c>
      <c r="I119" s="20">
        <v>13340.11</v>
      </c>
      <c r="J119" s="42"/>
      <c r="K119" s="213"/>
      <c r="L119" s="213"/>
      <c r="M119" s="213"/>
      <c r="N119" s="210">
        <f t="shared" si="34"/>
        <v>667.0055000000001</v>
      </c>
      <c r="O119" s="10">
        <f t="shared" si="35"/>
        <v>13370.17</v>
      </c>
      <c r="P119" s="101" t="s">
        <v>353</v>
      </c>
      <c r="Q119" s="48">
        <v>7721</v>
      </c>
      <c r="R119" s="24"/>
      <c r="S119" s="48">
        <v>1105</v>
      </c>
      <c r="T119" s="24"/>
      <c r="U119" s="48">
        <v>121</v>
      </c>
      <c r="V119" s="48"/>
      <c r="W119" s="48"/>
      <c r="X119" s="48"/>
      <c r="Y119" s="48">
        <v>3638</v>
      </c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24"/>
      <c r="AO119" s="24"/>
      <c r="AP119" s="24"/>
      <c r="AQ119" s="24"/>
      <c r="AR119" s="24"/>
      <c r="AS119" s="24">
        <v>785.17</v>
      </c>
      <c r="AT119" s="24"/>
      <c r="AU119" s="24"/>
      <c r="AV119" s="24"/>
    </row>
    <row r="120" spans="2:48" ht="13.5" thickBot="1">
      <c r="B120" s="150">
        <v>9</v>
      </c>
      <c r="C120" s="38"/>
      <c r="D120" s="35"/>
      <c r="E120" s="125"/>
      <c r="F120" s="87"/>
      <c r="G120" s="12" t="s">
        <v>14</v>
      </c>
      <c r="H120" s="43">
        <v>16513.84</v>
      </c>
      <c r="I120" s="21">
        <v>14141.32</v>
      </c>
      <c r="J120" s="43"/>
      <c r="K120" s="214"/>
      <c r="L120" s="214"/>
      <c r="M120" s="214"/>
      <c r="N120" s="210">
        <f t="shared" si="34"/>
        <v>707.066</v>
      </c>
      <c r="O120" s="10">
        <f t="shared" si="35"/>
        <v>9660.17</v>
      </c>
      <c r="P120" s="104"/>
      <c r="Q120" s="25">
        <v>7055</v>
      </c>
      <c r="R120" s="25"/>
      <c r="S120" s="49">
        <v>979</v>
      </c>
      <c r="T120" s="25"/>
      <c r="U120" s="25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25"/>
      <c r="AO120" s="25"/>
      <c r="AP120" s="25"/>
      <c r="AQ120" s="25"/>
      <c r="AR120" s="25"/>
      <c r="AS120" s="25">
        <v>785.17</v>
      </c>
      <c r="AT120" s="25"/>
      <c r="AU120" s="25">
        <v>841</v>
      </c>
      <c r="AV120" s="128">
        <f>AV108+I108+J108-K108-L108-M108-N108-O108</f>
        <v>-86427.20450000002</v>
      </c>
    </row>
    <row r="121" spans="2:65" s="4" customFormat="1" ht="14.25" thickBot="1" thickTop="1">
      <c r="B121" s="148">
        <v>10</v>
      </c>
      <c r="C121" s="28" t="s">
        <v>19</v>
      </c>
      <c r="D121" s="29">
        <v>68</v>
      </c>
      <c r="E121" s="141" t="s">
        <v>45</v>
      </c>
      <c r="F121" s="84">
        <v>3132.1</v>
      </c>
      <c r="G121" s="50"/>
      <c r="H121" s="69">
        <v>229832.83000000002</v>
      </c>
      <c r="I121" s="69">
        <v>236435.27</v>
      </c>
      <c r="J121" s="69">
        <f>SUM(J122:J133)</f>
        <v>0</v>
      </c>
      <c r="K121" s="211">
        <f>SUM(K122:K133)</f>
        <v>12923.26</v>
      </c>
      <c r="L121" s="211">
        <f>SUM(L122:L133)</f>
        <v>11527.3</v>
      </c>
      <c r="M121" s="211">
        <f>SUM(M122:M133)</f>
        <v>10128.1</v>
      </c>
      <c r="N121" s="215">
        <f>SUM(N122:N133)</f>
        <v>11821.763500000001</v>
      </c>
      <c r="O121" s="16">
        <f>SUM(Q121:AU121)</f>
        <v>166397.8</v>
      </c>
      <c r="P121" s="99"/>
      <c r="Q121" s="11">
        <f>SUM(Q122:Q133)</f>
        <v>124441</v>
      </c>
      <c r="R121" s="11">
        <f>SUM(R122:R133)</f>
        <v>2492</v>
      </c>
      <c r="S121" s="11">
        <f>SUM(S122:S133)</f>
        <v>1942</v>
      </c>
      <c r="T121" s="11">
        <f>SUM(T122:T133)</f>
        <v>0</v>
      </c>
      <c r="U121" s="11">
        <f>SUM(U122:U133)</f>
        <v>0</v>
      </c>
      <c r="V121" s="50">
        <f aca="true" t="shared" si="36" ref="V121:AM121">SUM(V122:V133)</f>
        <v>503</v>
      </c>
      <c r="W121" s="50">
        <f t="shared" si="36"/>
        <v>2194</v>
      </c>
      <c r="X121" s="50">
        <f t="shared" si="36"/>
        <v>5196</v>
      </c>
      <c r="Y121" s="50">
        <f t="shared" si="36"/>
        <v>0</v>
      </c>
      <c r="Z121" s="50">
        <f>SUM(Z122:Z133)</f>
        <v>0</v>
      </c>
      <c r="AA121" s="50">
        <f>SUM(AA122:AA133)</f>
        <v>0</v>
      </c>
      <c r="AB121" s="50">
        <f t="shared" si="36"/>
        <v>0</v>
      </c>
      <c r="AC121" s="50">
        <f t="shared" si="36"/>
        <v>6522</v>
      </c>
      <c r="AD121" s="50">
        <f t="shared" si="36"/>
        <v>7601</v>
      </c>
      <c r="AE121" s="50">
        <f t="shared" si="36"/>
        <v>0</v>
      </c>
      <c r="AF121" s="50">
        <f t="shared" si="36"/>
        <v>0</v>
      </c>
      <c r="AG121" s="50">
        <f t="shared" si="36"/>
        <v>311</v>
      </c>
      <c r="AH121" s="50">
        <f t="shared" si="36"/>
        <v>0</v>
      </c>
      <c r="AI121" s="50">
        <f>SUM(AI122:AI133)</f>
        <v>0</v>
      </c>
      <c r="AJ121" s="50">
        <f>SUM(AJ122:AJ133)</f>
        <v>0</v>
      </c>
      <c r="AK121" s="50">
        <f>SUM(AK122:AK133)</f>
        <v>0</v>
      </c>
      <c r="AL121" s="50">
        <f>SUM(AL122:AL133)</f>
        <v>0</v>
      </c>
      <c r="AM121" s="50">
        <f t="shared" si="36"/>
        <v>0</v>
      </c>
      <c r="AN121" s="11">
        <f aca="true" t="shared" si="37" ref="AN121:AU121">SUM(AN122:AN133)</f>
        <v>0</v>
      </c>
      <c r="AO121" s="11">
        <f t="shared" si="37"/>
        <v>0</v>
      </c>
      <c r="AP121" s="11">
        <f t="shared" si="37"/>
        <v>0</v>
      </c>
      <c r="AQ121" s="11">
        <f>SUM(AQ122:AQ133)</f>
        <v>0</v>
      </c>
      <c r="AR121" s="11">
        <f>SUM(AR122:AR133)</f>
        <v>0</v>
      </c>
      <c r="AS121" s="11">
        <f t="shared" si="37"/>
        <v>11177.800000000003</v>
      </c>
      <c r="AT121" s="11">
        <f t="shared" si="37"/>
        <v>0</v>
      </c>
      <c r="AU121" s="11">
        <f t="shared" si="37"/>
        <v>4018</v>
      </c>
      <c r="AV121" s="127">
        <v>-106917.29</v>
      </c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2:48" ht="13.5" thickTop="1">
      <c r="B122" s="149">
        <v>10</v>
      </c>
      <c r="C122" s="30" t="s">
        <v>68</v>
      </c>
      <c r="D122" s="31"/>
      <c r="E122" s="124"/>
      <c r="F122" s="85"/>
      <c r="G122" s="9" t="s">
        <v>3</v>
      </c>
      <c r="H122" s="41">
        <v>17965.75</v>
      </c>
      <c r="I122" s="19">
        <v>19134.17</v>
      </c>
      <c r="J122" s="41"/>
      <c r="K122" s="212">
        <v>12923.26</v>
      </c>
      <c r="L122" s="212">
        <v>11527.3</v>
      </c>
      <c r="M122" s="212">
        <v>10128.1</v>
      </c>
      <c r="N122" s="210">
        <f aca="true" t="shared" si="38" ref="N122:N133">I122*0.05</f>
        <v>956.7085</v>
      </c>
      <c r="O122" s="10">
        <f>SUM(Q122:AU122)</f>
        <v>14680.2</v>
      </c>
      <c r="P122" s="105" t="s">
        <v>182</v>
      </c>
      <c r="Q122" s="39">
        <v>12841</v>
      </c>
      <c r="R122" s="39"/>
      <c r="S122" s="39">
        <v>944</v>
      </c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>
        <v>895.2</v>
      </c>
      <c r="AT122" s="39"/>
      <c r="AU122" s="39"/>
      <c r="AV122" s="23"/>
    </row>
    <row r="123" spans="2:48" ht="12.75">
      <c r="B123" s="58">
        <v>10</v>
      </c>
      <c r="C123" s="37"/>
      <c r="D123" s="33"/>
      <c r="E123" s="88"/>
      <c r="F123" s="86"/>
      <c r="G123" s="8" t="s">
        <v>4</v>
      </c>
      <c r="H123" s="42">
        <v>17965.75</v>
      </c>
      <c r="I123" s="20">
        <v>16053.83</v>
      </c>
      <c r="J123" s="42"/>
      <c r="K123" s="213"/>
      <c r="L123" s="213"/>
      <c r="M123" s="213"/>
      <c r="N123" s="210">
        <f t="shared" si="38"/>
        <v>802.6915</v>
      </c>
      <c r="O123" s="10">
        <f aca="true" t="shared" si="39" ref="O123:O133">SUM(Q123:AU123)</f>
        <v>15254.2</v>
      </c>
      <c r="P123" s="98" t="s">
        <v>227</v>
      </c>
      <c r="Q123" s="48">
        <v>12841</v>
      </c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>
        <v>1518</v>
      </c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>
        <v>895.2</v>
      </c>
      <c r="AT123" s="39"/>
      <c r="AU123" s="48"/>
      <c r="AV123" s="24"/>
    </row>
    <row r="124" spans="2:48" ht="12.75">
      <c r="B124" s="58">
        <v>10</v>
      </c>
      <c r="C124" s="37"/>
      <c r="D124" s="33"/>
      <c r="E124" s="88"/>
      <c r="F124" s="86"/>
      <c r="G124" s="8" t="s">
        <v>5</v>
      </c>
      <c r="H124" s="42">
        <v>17965.75</v>
      </c>
      <c r="I124" s="20">
        <v>18527.96</v>
      </c>
      <c r="J124" s="42"/>
      <c r="K124" s="213"/>
      <c r="L124" s="213"/>
      <c r="M124" s="213"/>
      <c r="N124" s="210">
        <f t="shared" si="38"/>
        <v>926.398</v>
      </c>
      <c r="O124" s="10">
        <f t="shared" si="39"/>
        <v>13736.2</v>
      </c>
      <c r="P124" s="98"/>
      <c r="Q124" s="48">
        <v>12841</v>
      </c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>
        <v>895.2</v>
      </c>
      <c r="AT124" s="39"/>
      <c r="AU124" s="39"/>
      <c r="AV124" s="24"/>
    </row>
    <row r="125" spans="2:48" ht="12.75">
      <c r="B125" s="58">
        <v>10</v>
      </c>
      <c r="C125" s="37"/>
      <c r="D125" s="33"/>
      <c r="E125" s="88"/>
      <c r="F125" s="86"/>
      <c r="G125" s="8" t="s">
        <v>6</v>
      </c>
      <c r="H125" s="42">
        <v>17965.75</v>
      </c>
      <c r="I125" s="20">
        <v>17005.63</v>
      </c>
      <c r="J125" s="42"/>
      <c r="K125" s="213"/>
      <c r="L125" s="213"/>
      <c r="M125" s="213"/>
      <c r="N125" s="210">
        <f t="shared" si="38"/>
        <v>850.2815</v>
      </c>
      <c r="O125" s="10">
        <f t="shared" si="39"/>
        <v>12658.2</v>
      </c>
      <c r="P125" s="95" t="s">
        <v>190</v>
      </c>
      <c r="Q125" s="48">
        <v>10208</v>
      </c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>
        <v>534</v>
      </c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>
        <v>895.2</v>
      </c>
      <c r="AT125" s="48"/>
      <c r="AU125" s="48">
        <v>1021</v>
      </c>
      <c r="AV125" s="24"/>
    </row>
    <row r="126" spans="2:48" ht="12.75">
      <c r="B126" s="58">
        <v>10</v>
      </c>
      <c r="C126" s="37"/>
      <c r="D126" s="33"/>
      <c r="E126" s="88"/>
      <c r="F126" s="86"/>
      <c r="G126" s="8" t="s">
        <v>7</v>
      </c>
      <c r="H126" s="42">
        <v>17965.75</v>
      </c>
      <c r="I126" s="20">
        <v>14337.36</v>
      </c>
      <c r="J126" s="42"/>
      <c r="K126" s="213"/>
      <c r="L126" s="213"/>
      <c r="M126" s="213"/>
      <c r="N126" s="210">
        <f t="shared" si="38"/>
        <v>716.868</v>
      </c>
      <c r="O126" s="10">
        <f t="shared" si="39"/>
        <v>17274.2</v>
      </c>
      <c r="P126" s="176" t="s">
        <v>251</v>
      </c>
      <c r="Q126" s="48">
        <v>9581</v>
      </c>
      <c r="R126" s="48">
        <v>2492</v>
      </c>
      <c r="S126" s="48"/>
      <c r="T126" s="48"/>
      <c r="U126" s="48"/>
      <c r="V126" s="48"/>
      <c r="W126" s="48">
        <v>2194</v>
      </c>
      <c r="X126" s="48"/>
      <c r="Y126" s="48"/>
      <c r="Z126" s="48"/>
      <c r="AA126" s="48"/>
      <c r="AB126" s="48"/>
      <c r="AC126" s="48"/>
      <c r="AD126" s="48">
        <v>1801</v>
      </c>
      <c r="AE126" s="48"/>
      <c r="AF126" s="48"/>
      <c r="AG126" s="48">
        <v>311</v>
      </c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>
        <v>895.2</v>
      </c>
      <c r="AT126" s="39"/>
      <c r="AU126" s="48"/>
      <c r="AV126" s="24"/>
    </row>
    <row r="127" spans="2:48" ht="12.75">
      <c r="B127" s="58">
        <v>10</v>
      </c>
      <c r="C127" s="37"/>
      <c r="D127" s="33"/>
      <c r="E127" s="88"/>
      <c r="F127" s="86"/>
      <c r="G127" s="8" t="s">
        <v>8</v>
      </c>
      <c r="H127" s="42">
        <v>18064.11</v>
      </c>
      <c r="I127" s="20">
        <v>21700.98</v>
      </c>
      <c r="J127" s="42"/>
      <c r="K127" s="213"/>
      <c r="L127" s="213"/>
      <c r="M127" s="213"/>
      <c r="N127" s="210">
        <f t="shared" si="38"/>
        <v>1085.049</v>
      </c>
      <c r="O127" s="10">
        <f t="shared" si="39"/>
        <v>12970.1</v>
      </c>
      <c r="P127" s="176" t="s">
        <v>284</v>
      </c>
      <c r="Q127" s="48">
        <v>9581</v>
      </c>
      <c r="R127" s="48"/>
      <c r="S127" s="48">
        <v>998</v>
      </c>
      <c r="T127" s="48"/>
      <c r="U127" s="48"/>
      <c r="V127" s="48">
        <v>503</v>
      </c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>
        <v>900.1</v>
      </c>
      <c r="AT127" s="48"/>
      <c r="AU127" s="48">
        <v>988</v>
      </c>
      <c r="AV127" s="24"/>
    </row>
    <row r="128" spans="2:48" ht="12.75">
      <c r="B128" s="58">
        <v>10</v>
      </c>
      <c r="C128" s="37"/>
      <c r="D128" s="33"/>
      <c r="E128" s="88"/>
      <c r="F128" s="86"/>
      <c r="G128" s="8" t="s">
        <v>9</v>
      </c>
      <c r="H128" s="42">
        <v>20312.55</v>
      </c>
      <c r="I128" s="20">
        <v>22104.67</v>
      </c>
      <c r="J128" s="42"/>
      <c r="K128" s="213"/>
      <c r="L128" s="213"/>
      <c r="M128" s="213"/>
      <c r="N128" s="210">
        <f t="shared" si="38"/>
        <v>1105.2335</v>
      </c>
      <c r="O128" s="10">
        <f t="shared" si="39"/>
        <v>10547.95</v>
      </c>
      <c r="P128" s="98"/>
      <c r="Q128" s="48">
        <v>9581</v>
      </c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>
        <v>966.95</v>
      </c>
      <c r="AT128" s="48"/>
      <c r="AU128" s="48"/>
      <c r="AV128" s="24"/>
    </row>
    <row r="129" spans="2:48" ht="12.75">
      <c r="B129" s="58">
        <v>10</v>
      </c>
      <c r="C129" s="37"/>
      <c r="D129" s="33"/>
      <c r="E129" s="88"/>
      <c r="F129" s="86"/>
      <c r="G129" s="8" t="s">
        <v>10</v>
      </c>
      <c r="H129" s="42">
        <v>20599.54</v>
      </c>
      <c r="I129" s="20">
        <v>21481.88</v>
      </c>
      <c r="J129" s="42"/>
      <c r="K129" s="213"/>
      <c r="L129" s="213"/>
      <c r="M129" s="213"/>
      <c r="N129" s="210">
        <f t="shared" si="38"/>
        <v>1074.094</v>
      </c>
      <c r="O129" s="10">
        <f t="shared" si="39"/>
        <v>10547.95</v>
      </c>
      <c r="P129" s="98"/>
      <c r="Q129" s="48">
        <v>9581</v>
      </c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>
        <v>966.95</v>
      </c>
      <c r="AT129" s="48"/>
      <c r="AU129" s="48"/>
      <c r="AV129" s="24"/>
    </row>
    <row r="130" spans="2:48" ht="12.75">
      <c r="B130" s="58">
        <v>10</v>
      </c>
      <c r="C130" s="37"/>
      <c r="D130" s="33"/>
      <c r="E130" s="88"/>
      <c r="F130" s="86"/>
      <c r="G130" s="8" t="s">
        <v>11</v>
      </c>
      <c r="H130" s="42">
        <v>20599.54</v>
      </c>
      <c r="I130" s="20">
        <v>20523.1</v>
      </c>
      <c r="J130" s="42"/>
      <c r="K130" s="213"/>
      <c r="L130" s="213"/>
      <c r="M130" s="213"/>
      <c r="N130" s="210">
        <f t="shared" si="38"/>
        <v>1026.155</v>
      </c>
      <c r="O130" s="10">
        <f t="shared" si="39"/>
        <v>16815.95</v>
      </c>
      <c r="P130" s="98"/>
      <c r="Q130" s="48">
        <v>9581</v>
      </c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>
        <v>4548</v>
      </c>
      <c r="AD130" s="48">
        <v>699</v>
      </c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>
        <v>966.95</v>
      </c>
      <c r="AT130" s="48"/>
      <c r="AU130" s="48">
        <v>1021</v>
      </c>
      <c r="AV130" s="24"/>
    </row>
    <row r="131" spans="2:48" ht="12.75">
      <c r="B131" s="58">
        <v>10</v>
      </c>
      <c r="C131" s="37"/>
      <c r="D131" s="33"/>
      <c r="E131" s="88"/>
      <c r="F131" s="86"/>
      <c r="G131" s="8" t="s">
        <v>12</v>
      </c>
      <c r="H131" s="42">
        <v>20059.67</v>
      </c>
      <c r="I131" s="20">
        <v>29712.35</v>
      </c>
      <c r="J131" s="42"/>
      <c r="K131" s="213"/>
      <c r="L131" s="213"/>
      <c r="M131" s="213"/>
      <c r="N131" s="210">
        <f t="shared" si="38"/>
        <v>1485.6175</v>
      </c>
      <c r="O131" s="10">
        <f t="shared" si="39"/>
        <v>16802.95</v>
      </c>
      <c r="P131" s="98" t="s">
        <v>326</v>
      </c>
      <c r="Q131" s="48">
        <v>9581</v>
      </c>
      <c r="R131" s="48"/>
      <c r="S131" s="48"/>
      <c r="T131" s="48"/>
      <c r="U131" s="48"/>
      <c r="V131" s="48"/>
      <c r="W131" s="48"/>
      <c r="X131" s="48">
        <v>5196</v>
      </c>
      <c r="Y131" s="48"/>
      <c r="Z131" s="48"/>
      <c r="AA131" s="48"/>
      <c r="AB131" s="48"/>
      <c r="AC131" s="48"/>
      <c r="AD131" s="48">
        <f>519+540</f>
        <v>1059</v>
      </c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>
        <v>966.95</v>
      </c>
      <c r="AT131" s="48"/>
      <c r="AU131" s="48"/>
      <c r="AV131" s="24"/>
    </row>
    <row r="132" spans="2:48" ht="12.75">
      <c r="B132" s="58">
        <v>10</v>
      </c>
      <c r="C132" s="37"/>
      <c r="D132" s="33"/>
      <c r="E132" s="88"/>
      <c r="F132" s="86"/>
      <c r="G132" s="8" t="s">
        <v>13</v>
      </c>
      <c r="H132" s="42">
        <v>20337.17</v>
      </c>
      <c r="I132" s="20">
        <v>14001.03</v>
      </c>
      <c r="J132" s="42"/>
      <c r="K132" s="213"/>
      <c r="L132" s="213"/>
      <c r="M132" s="213"/>
      <c r="N132" s="210">
        <f t="shared" si="38"/>
        <v>700.0515</v>
      </c>
      <c r="O132" s="10">
        <f t="shared" si="39"/>
        <v>10547.95</v>
      </c>
      <c r="P132" s="98"/>
      <c r="Q132" s="48">
        <v>9581</v>
      </c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>
        <v>966.95</v>
      </c>
      <c r="AT132" s="48"/>
      <c r="AU132" s="48"/>
      <c r="AV132" s="24"/>
    </row>
    <row r="133" spans="2:48" ht="13.5" thickBot="1">
      <c r="B133" s="150">
        <v>10</v>
      </c>
      <c r="C133" s="38"/>
      <c r="D133" s="35"/>
      <c r="E133" s="125"/>
      <c r="F133" s="87"/>
      <c r="G133" s="12" t="s">
        <v>14</v>
      </c>
      <c r="H133" s="42">
        <v>20031.5</v>
      </c>
      <c r="I133" s="21">
        <v>21852.31</v>
      </c>
      <c r="J133" s="42"/>
      <c r="K133" s="213"/>
      <c r="L133" s="213"/>
      <c r="M133" s="213"/>
      <c r="N133" s="210">
        <f t="shared" si="38"/>
        <v>1092.6155</v>
      </c>
      <c r="O133" s="10">
        <f t="shared" si="39"/>
        <v>14561.95</v>
      </c>
      <c r="P133" s="108" t="s">
        <v>358</v>
      </c>
      <c r="Q133" s="49">
        <v>8643</v>
      </c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>
        <v>1974</v>
      </c>
      <c r="AD133" s="49">
        <v>1990</v>
      </c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>
        <v>966.95</v>
      </c>
      <c r="AT133" s="49"/>
      <c r="AU133" s="49">
        <v>988</v>
      </c>
      <c r="AV133" s="128">
        <f>AV121+I121+J121-K121-L121-M121-N121-O121</f>
        <v>-83280.2435</v>
      </c>
    </row>
    <row r="134" spans="2:65" s="4" customFormat="1" ht="14.25" thickBot="1" thickTop="1">
      <c r="B134" s="148">
        <v>11</v>
      </c>
      <c r="C134" s="28" t="s">
        <v>19</v>
      </c>
      <c r="D134" s="29">
        <v>72</v>
      </c>
      <c r="E134" s="141" t="s">
        <v>45</v>
      </c>
      <c r="F134" s="84">
        <v>2961.9</v>
      </c>
      <c r="G134" s="50"/>
      <c r="H134" s="69">
        <v>165582.31</v>
      </c>
      <c r="I134" s="69">
        <v>153709.23</v>
      </c>
      <c r="J134" s="69">
        <f>SUM(J135:J146)</f>
        <v>0</v>
      </c>
      <c r="K134" s="211">
        <f>SUM(K135:K146)</f>
        <v>11721.79</v>
      </c>
      <c r="L134" s="211">
        <f>SUM(L135:L146)</f>
        <v>11516.02</v>
      </c>
      <c r="M134" s="211">
        <f>SUM(M135:M146)</f>
        <v>6164.11</v>
      </c>
      <c r="N134" s="215">
        <f>SUM(N135:N146)</f>
        <v>7685.461499999999</v>
      </c>
      <c r="O134" s="16">
        <f aca="true" t="shared" si="40" ref="O134:O148">SUM(Q134:AU134)</f>
        <v>164140.47</v>
      </c>
      <c r="P134" s="99"/>
      <c r="Q134" s="11">
        <f>SUM(Q135:Q146)</f>
        <v>123390</v>
      </c>
      <c r="R134" s="11">
        <f>SUM(R135:R146)</f>
        <v>0</v>
      </c>
      <c r="S134" s="11">
        <f>SUM(S135:S146)</f>
        <v>954</v>
      </c>
      <c r="T134" s="11">
        <f>SUM(T135:T146)</f>
        <v>0</v>
      </c>
      <c r="U134" s="11">
        <f>SUM(U135:U146)</f>
        <v>0</v>
      </c>
      <c r="V134" s="50">
        <f aca="true" t="shared" si="41" ref="V134:AM134">SUM(V135:V146)</f>
        <v>0</v>
      </c>
      <c r="W134" s="50">
        <f t="shared" si="41"/>
        <v>2194</v>
      </c>
      <c r="X134" s="50">
        <f t="shared" si="41"/>
        <v>1100</v>
      </c>
      <c r="Y134" s="50">
        <f t="shared" si="41"/>
        <v>3863</v>
      </c>
      <c r="Z134" s="50">
        <f>SUM(Z135:Z146)</f>
        <v>0</v>
      </c>
      <c r="AA134" s="50">
        <f>SUM(AA135:AA146)</f>
        <v>0</v>
      </c>
      <c r="AB134" s="50">
        <f t="shared" si="41"/>
        <v>0</v>
      </c>
      <c r="AC134" s="50">
        <f t="shared" si="41"/>
        <v>0</v>
      </c>
      <c r="AD134" s="50">
        <f t="shared" si="41"/>
        <v>14292</v>
      </c>
      <c r="AE134" s="50">
        <f t="shared" si="41"/>
        <v>0</v>
      </c>
      <c r="AF134" s="50">
        <f t="shared" si="41"/>
        <v>0</v>
      </c>
      <c r="AG134" s="50">
        <f t="shared" si="41"/>
        <v>0</v>
      </c>
      <c r="AH134" s="50">
        <f t="shared" si="41"/>
        <v>0</v>
      </c>
      <c r="AI134" s="50">
        <f>SUM(AI135:AI146)</f>
        <v>0</v>
      </c>
      <c r="AJ134" s="50">
        <f>SUM(AJ135:AJ146)</f>
        <v>0</v>
      </c>
      <c r="AK134" s="50">
        <f>SUM(AK135:AK146)</f>
        <v>0</v>
      </c>
      <c r="AL134" s="50">
        <f>SUM(AL135:AL146)</f>
        <v>0</v>
      </c>
      <c r="AM134" s="50">
        <f t="shared" si="41"/>
        <v>0</v>
      </c>
      <c r="AN134" s="11">
        <f aca="true" t="shared" si="42" ref="AN134:AU134">SUM(AN135:AN146)</f>
        <v>0</v>
      </c>
      <c r="AO134" s="11">
        <f t="shared" si="42"/>
        <v>3045</v>
      </c>
      <c r="AP134" s="11">
        <f t="shared" si="42"/>
        <v>0</v>
      </c>
      <c r="AQ134" s="11">
        <f>SUM(AQ135:AQ146)</f>
        <v>0</v>
      </c>
      <c r="AR134" s="11">
        <f>SUM(AR135:AR146)</f>
        <v>0</v>
      </c>
      <c r="AS134" s="11">
        <f t="shared" si="42"/>
        <v>10666.47</v>
      </c>
      <c r="AT134" s="11">
        <f t="shared" si="42"/>
        <v>0</v>
      </c>
      <c r="AU134" s="11">
        <f t="shared" si="42"/>
        <v>4636</v>
      </c>
      <c r="AV134" s="127">
        <v>-70763.26</v>
      </c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2:48" ht="13.5" thickTop="1">
      <c r="B135" s="149">
        <v>11</v>
      </c>
      <c r="C135" s="30" t="s">
        <v>68</v>
      </c>
      <c r="D135" s="31"/>
      <c r="E135" s="124"/>
      <c r="F135" s="85"/>
      <c r="G135" s="9" t="s">
        <v>3</v>
      </c>
      <c r="H135" s="41">
        <v>10842.74</v>
      </c>
      <c r="I135" s="19">
        <v>9149.04</v>
      </c>
      <c r="J135" s="41"/>
      <c r="K135" s="212">
        <v>11721.79</v>
      </c>
      <c r="L135" s="212">
        <v>11516.02</v>
      </c>
      <c r="M135" s="212">
        <v>6164.11</v>
      </c>
      <c r="N135" s="210">
        <f aca="true" t="shared" si="43" ref="N135:N146">I135*0.05</f>
        <v>457.45200000000006</v>
      </c>
      <c r="O135" s="10">
        <f t="shared" si="40"/>
        <v>14123.12</v>
      </c>
      <c r="P135" s="107"/>
      <c r="Q135" s="39">
        <v>13264</v>
      </c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>
        <v>859.12</v>
      </c>
      <c r="AT135" s="39"/>
      <c r="AU135" s="39"/>
      <c r="AV135" s="23"/>
    </row>
    <row r="136" spans="2:48" ht="12.75">
      <c r="B136" s="58">
        <v>11</v>
      </c>
      <c r="C136" s="37"/>
      <c r="D136" s="33"/>
      <c r="E136" s="88"/>
      <c r="F136" s="86"/>
      <c r="G136" s="8" t="s">
        <v>4</v>
      </c>
      <c r="H136" s="42">
        <v>10842.74</v>
      </c>
      <c r="I136" s="20">
        <v>11886.61</v>
      </c>
      <c r="J136" s="42"/>
      <c r="K136" s="213"/>
      <c r="L136" s="213"/>
      <c r="M136" s="213"/>
      <c r="N136" s="210">
        <f t="shared" si="43"/>
        <v>594.3305</v>
      </c>
      <c r="O136" s="10">
        <f t="shared" si="40"/>
        <v>14123.12</v>
      </c>
      <c r="P136" s="98"/>
      <c r="Q136" s="48">
        <v>13264</v>
      </c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>
        <v>859.12</v>
      </c>
      <c r="AT136" s="39"/>
      <c r="AU136" s="48"/>
      <c r="AV136" s="24"/>
    </row>
    <row r="137" spans="2:48" ht="12.75">
      <c r="B137" s="58">
        <v>11</v>
      </c>
      <c r="C137" s="37"/>
      <c r="D137" s="33"/>
      <c r="E137" s="88"/>
      <c r="F137" s="86"/>
      <c r="G137" s="8" t="s">
        <v>5</v>
      </c>
      <c r="H137" s="42">
        <v>10317.11</v>
      </c>
      <c r="I137" s="20">
        <v>9347.15</v>
      </c>
      <c r="J137" s="42"/>
      <c r="K137" s="213"/>
      <c r="L137" s="213"/>
      <c r="M137" s="213"/>
      <c r="N137" s="210">
        <f t="shared" si="43"/>
        <v>467.3575</v>
      </c>
      <c r="O137" s="10">
        <f t="shared" si="40"/>
        <v>17037.12</v>
      </c>
      <c r="P137" s="98" t="s">
        <v>211</v>
      </c>
      <c r="Q137" s="48">
        <v>13264</v>
      </c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>
        <f>2473+441</f>
        <v>2914</v>
      </c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>
        <v>859.12</v>
      </c>
      <c r="AT137" s="39"/>
      <c r="AU137" s="39"/>
      <c r="AV137" s="24"/>
    </row>
    <row r="138" spans="2:48" ht="12.75">
      <c r="B138" s="58">
        <v>11</v>
      </c>
      <c r="C138" s="37"/>
      <c r="D138" s="33"/>
      <c r="E138" s="88"/>
      <c r="F138" s="86"/>
      <c r="G138" s="8" t="s">
        <v>6</v>
      </c>
      <c r="H138" s="42">
        <v>10842.74</v>
      </c>
      <c r="I138" s="20">
        <v>9731.18</v>
      </c>
      <c r="J138" s="42"/>
      <c r="K138" s="213"/>
      <c r="L138" s="213"/>
      <c r="M138" s="213"/>
      <c r="N138" s="210">
        <f t="shared" si="43"/>
        <v>486.559</v>
      </c>
      <c r="O138" s="10">
        <f t="shared" si="40"/>
        <v>16529.120000000003</v>
      </c>
      <c r="P138" s="173" t="s">
        <v>175</v>
      </c>
      <c r="Q138" s="48">
        <v>9964</v>
      </c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>
        <v>4607</v>
      </c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>
        <v>859.12</v>
      </c>
      <c r="AT138" s="48"/>
      <c r="AU138" s="48">
        <v>1099</v>
      </c>
      <c r="AV138" s="24"/>
    </row>
    <row r="139" spans="2:48" ht="12.75">
      <c r="B139" s="58">
        <v>11</v>
      </c>
      <c r="C139" s="37"/>
      <c r="D139" s="33"/>
      <c r="E139" s="88"/>
      <c r="F139" s="86"/>
      <c r="G139" s="8" t="s">
        <v>7</v>
      </c>
      <c r="H139" s="42">
        <v>10843.11</v>
      </c>
      <c r="I139" s="20">
        <v>10384.6</v>
      </c>
      <c r="J139" s="42"/>
      <c r="K139" s="213"/>
      <c r="L139" s="213"/>
      <c r="M139" s="213"/>
      <c r="N139" s="210">
        <f t="shared" si="43"/>
        <v>519.23</v>
      </c>
      <c r="O139" s="10">
        <f t="shared" si="40"/>
        <v>12314.12</v>
      </c>
      <c r="P139" s="176"/>
      <c r="Q139" s="48">
        <v>9261</v>
      </c>
      <c r="R139" s="48"/>
      <c r="S139" s="48"/>
      <c r="T139" s="48"/>
      <c r="U139" s="48"/>
      <c r="V139" s="48"/>
      <c r="W139" s="48">
        <v>2194</v>
      </c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>
        <v>859.12</v>
      </c>
      <c r="AT139" s="39"/>
      <c r="AU139" s="48"/>
      <c r="AV139" s="24"/>
    </row>
    <row r="140" spans="2:48" ht="12.75">
      <c r="B140" s="58">
        <v>11</v>
      </c>
      <c r="C140" s="37"/>
      <c r="D140" s="33"/>
      <c r="E140" s="88"/>
      <c r="F140" s="86"/>
      <c r="G140" s="8" t="s">
        <v>8</v>
      </c>
      <c r="H140" s="42">
        <v>10296.27</v>
      </c>
      <c r="I140" s="20">
        <v>11150.83</v>
      </c>
      <c r="J140" s="42"/>
      <c r="K140" s="213"/>
      <c r="L140" s="213"/>
      <c r="M140" s="213"/>
      <c r="N140" s="210">
        <f t="shared" si="43"/>
        <v>557.5415</v>
      </c>
      <c r="O140" s="10">
        <f t="shared" si="40"/>
        <v>18065.12</v>
      </c>
      <c r="P140" s="176" t="s">
        <v>175</v>
      </c>
      <c r="Q140" s="48">
        <v>9261</v>
      </c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>
        <v>3681</v>
      </c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>
        <v>3045</v>
      </c>
      <c r="AP140" s="48"/>
      <c r="AQ140" s="48"/>
      <c r="AR140" s="48"/>
      <c r="AS140" s="48">
        <v>859.12</v>
      </c>
      <c r="AT140" s="48"/>
      <c r="AU140" s="48">
        <v>1219</v>
      </c>
      <c r="AV140" s="24"/>
    </row>
    <row r="141" spans="2:48" ht="12.75">
      <c r="B141" s="58">
        <v>11</v>
      </c>
      <c r="C141" s="37"/>
      <c r="D141" s="33"/>
      <c r="E141" s="88"/>
      <c r="F141" s="86"/>
      <c r="G141" s="8" t="s">
        <v>9</v>
      </c>
      <c r="H141" s="42">
        <v>12147.08</v>
      </c>
      <c r="I141" s="20">
        <v>9817.5</v>
      </c>
      <c r="J141" s="42"/>
      <c r="K141" s="213"/>
      <c r="L141" s="213"/>
      <c r="M141" s="213"/>
      <c r="N141" s="210">
        <f t="shared" si="43"/>
        <v>490.875</v>
      </c>
      <c r="O141" s="10">
        <f t="shared" si="40"/>
        <v>11133.44</v>
      </c>
      <c r="P141" s="176"/>
      <c r="Q141" s="48">
        <v>9261</v>
      </c>
      <c r="R141" s="48"/>
      <c r="S141" s="48">
        <v>954</v>
      </c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>
        <v>918.44</v>
      </c>
      <c r="AT141" s="48"/>
      <c r="AU141" s="48"/>
      <c r="AV141" s="24"/>
    </row>
    <row r="142" spans="2:48" ht="12.75">
      <c r="B142" s="58">
        <v>11</v>
      </c>
      <c r="C142" s="37"/>
      <c r="D142" s="33"/>
      <c r="E142" s="88"/>
      <c r="F142" s="86"/>
      <c r="G142" s="8" t="s">
        <v>10</v>
      </c>
      <c r="H142" s="42">
        <v>12152</v>
      </c>
      <c r="I142" s="20">
        <v>11599.1</v>
      </c>
      <c r="J142" s="42"/>
      <c r="K142" s="213"/>
      <c r="L142" s="213"/>
      <c r="M142" s="213"/>
      <c r="N142" s="210">
        <f t="shared" si="43"/>
        <v>579.955</v>
      </c>
      <c r="O142" s="10">
        <f t="shared" si="40"/>
        <v>10179.44</v>
      </c>
      <c r="P142" s="176"/>
      <c r="Q142" s="48">
        <v>9261</v>
      </c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>
        <v>918.44</v>
      </c>
      <c r="AT142" s="48"/>
      <c r="AU142" s="48"/>
      <c r="AV142" s="24"/>
    </row>
    <row r="143" spans="2:48" ht="12.75">
      <c r="B143" s="58">
        <v>11</v>
      </c>
      <c r="C143" s="37"/>
      <c r="D143" s="33"/>
      <c r="E143" s="88"/>
      <c r="F143" s="86"/>
      <c r="G143" s="8" t="s">
        <v>11</v>
      </c>
      <c r="H143" s="42">
        <v>12152</v>
      </c>
      <c r="I143" s="20">
        <v>9845.26</v>
      </c>
      <c r="J143" s="42"/>
      <c r="K143" s="213"/>
      <c r="L143" s="213"/>
      <c r="M143" s="213"/>
      <c r="N143" s="210">
        <f t="shared" si="43"/>
        <v>492.26300000000003</v>
      </c>
      <c r="O143" s="10">
        <f t="shared" si="40"/>
        <v>11837.44</v>
      </c>
      <c r="P143" s="98" t="s">
        <v>313</v>
      </c>
      <c r="Q143" s="48">
        <v>9261</v>
      </c>
      <c r="R143" s="48"/>
      <c r="S143" s="48"/>
      <c r="T143" s="48"/>
      <c r="U143" s="48"/>
      <c r="V143" s="48"/>
      <c r="W143" s="48"/>
      <c r="X143" s="48">
        <v>559</v>
      </c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>
        <v>918.44</v>
      </c>
      <c r="AT143" s="48"/>
      <c r="AU143" s="48">
        <v>1099</v>
      </c>
      <c r="AV143" s="24"/>
    </row>
    <row r="144" spans="2:48" ht="12.75">
      <c r="B144" s="58">
        <v>11</v>
      </c>
      <c r="C144" s="37"/>
      <c r="D144" s="33"/>
      <c r="E144" s="88"/>
      <c r="F144" s="86"/>
      <c r="G144" s="8" t="s">
        <v>12</v>
      </c>
      <c r="H144" s="42">
        <v>26497.26</v>
      </c>
      <c r="I144" s="20">
        <v>22302.28</v>
      </c>
      <c r="J144" s="42"/>
      <c r="K144" s="213"/>
      <c r="L144" s="213"/>
      <c r="M144" s="213"/>
      <c r="N144" s="210">
        <f t="shared" si="43"/>
        <v>1115.114</v>
      </c>
      <c r="O144" s="10">
        <f t="shared" si="40"/>
        <v>10720.81</v>
      </c>
      <c r="P144" s="98" t="s">
        <v>313</v>
      </c>
      <c r="Q144" s="48">
        <v>9261</v>
      </c>
      <c r="R144" s="48"/>
      <c r="S144" s="48"/>
      <c r="T144" s="48"/>
      <c r="U144" s="48"/>
      <c r="V144" s="48"/>
      <c r="W144" s="48"/>
      <c r="X144" s="48">
        <v>541</v>
      </c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>
        <v>918.81</v>
      </c>
      <c r="AT144" s="48"/>
      <c r="AU144" s="48"/>
      <c r="AV144" s="24"/>
    </row>
    <row r="145" spans="2:48" ht="12.75">
      <c r="B145" s="58">
        <v>11</v>
      </c>
      <c r="C145" s="37"/>
      <c r="D145" s="33"/>
      <c r="E145" s="88"/>
      <c r="F145" s="86"/>
      <c r="G145" s="8" t="s">
        <v>13</v>
      </c>
      <c r="H145" s="42">
        <v>19324.63</v>
      </c>
      <c r="I145" s="20">
        <v>17881.21</v>
      </c>
      <c r="J145" s="42"/>
      <c r="K145" s="213"/>
      <c r="L145" s="213"/>
      <c r="M145" s="213"/>
      <c r="N145" s="210">
        <f t="shared" si="43"/>
        <v>894.0605</v>
      </c>
      <c r="O145" s="10">
        <f t="shared" si="40"/>
        <v>14042.81</v>
      </c>
      <c r="P145" s="98"/>
      <c r="Q145" s="48">
        <v>9261</v>
      </c>
      <c r="R145" s="48"/>
      <c r="S145" s="48"/>
      <c r="T145" s="48"/>
      <c r="U145" s="48"/>
      <c r="V145" s="48"/>
      <c r="W145" s="48"/>
      <c r="X145" s="48"/>
      <c r="Y145" s="48">
        <v>3863</v>
      </c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>
        <v>918.81</v>
      </c>
      <c r="AT145" s="48"/>
      <c r="AU145" s="48"/>
      <c r="AV145" s="24"/>
    </row>
    <row r="146" spans="2:48" ht="13.5" thickBot="1">
      <c r="B146" s="150">
        <v>11</v>
      </c>
      <c r="C146" s="38"/>
      <c r="D146" s="35"/>
      <c r="E146" s="125"/>
      <c r="F146" s="87"/>
      <c r="G146" s="12" t="s">
        <v>14</v>
      </c>
      <c r="H146" s="42">
        <v>19324.63</v>
      </c>
      <c r="I146" s="21">
        <v>20614.47</v>
      </c>
      <c r="J146" s="42"/>
      <c r="K146" s="213"/>
      <c r="L146" s="213"/>
      <c r="M146" s="213"/>
      <c r="N146" s="210">
        <f t="shared" si="43"/>
        <v>1030.7235</v>
      </c>
      <c r="O146" s="10">
        <f t="shared" si="40"/>
        <v>14034.81</v>
      </c>
      <c r="P146" s="108"/>
      <c r="Q146" s="49">
        <v>8807</v>
      </c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>
        <v>3090</v>
      </c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>
        <v>918.81</v>
      </c>
      <c r="AT146" s="49"/>
      <c r="AU146" s="49">
        <v>1219</v>
      </c>
      <c r="AV146" s="128">
        <f>AV134+I134+J134-K134-L134-M134-N134-O134</f>
        <v>-118281.88149999999</v>
      </c>
    </row>
    <row r="147" spans="2:65" s="4" customFormat="1" ht="14.25" thickBot="1" thickTop="1">
      <c r="B147" s="148">
        <v>12</v>
      </c>
      <c r="C147" s="28" t="s">
        <v>35</v>
      </c>
      <c r="D147" s="29">
        <v>31</v>
      </c>
      <c r="E147" s="141" t="s">
        <v>47</v>
      </c>
      <c r="F147" s="84">
        <v>861.8</v>
      </c>
      <c r="G147" s="50"/>
      <c r="H147" s="69">
        <v>60499.72000000001</v>
      </c>
      <c r="I147" s="69">
        <v>61268.520000000004</v>
      </c>
      <c r="J147" s="69">
        <f>SUM(J148:J159)</f>
        <v>0</v>
      </c>
      <c r="K147" s="211">
        <f>SUM(K148:K159)</f>
        <v>1057.55</v>
      </c>
      <c r="L147" s="211">
        <f>SUM(L148:L159)</f>
        <v>2739</v>
      </c>
      <c r="M147" s="211">
        <f>SUM(M148:M159)</f>
        <v>2415.25</v>
      </c>
      <c r="N147" s="215">
        <f>SUM(N148:N159)</f>
        <v>3063.4260000000004</v>
      </c>
      <c r="O147" s="16">
        <f t="shared" si="40"/>
        <v>16458.03</v>
      </c>
      <c r="P147" s="99"/>
      <c r="Q147" s="11">
        <f>SUM(Q148:Q159)</f>
        <v>9743</v>
      </c>
      <c r="R147" s="11">
        <f>SUM(R148:R159)</f>
        <v>0</v>
      </c>
      <c r="S147" s="11">
        <f>SUM(S148:S159)</f>
        <v>0</v>
      </c>
      <c r="T147" s="11">
        <f>SUM(T148:T159)</f>
        <v>0</v>
      </c>
      <c r="U147" s="11">
        <f>SUM(U148:U159)</f>
        <v>0</v>
      </c>
      <c r="V147" s="50">
        <f aca="true" t="shared" si="44" ref="V147:AM147">SUM(V148:V159)</f>
        <v>0</v>
      </c>
      <c r="W147" s="50">
        <f t="shared" si="44"/>
        <v>0</v>
      </c>
      <c r="X147" s="50">
        <f t="shared" si="44"/>
        <v>0</v>
      </c>
      <c r="Y147" s="50">
        <f t="shared" si="44"/>
        <v>0</v>
      </c>
      <c r="Z147" s="50">
        <f>SUM(Z148:Z159)</f>
        <v>0</v>
      </c>
      <c r="AA147" s="50">
        <f>SUM(AA148:AA159)</f>
        <v>0</v>
      </c>
      <c r="AB147" s="50">
        <f t="shared" si="44"/>
        <v>0</v>
      </c>
      <c r="AC147" s="50">
        <f t="shared" si="44"/>
        <v>0</v>
      </c>
      <c r="AD147" s="50">
        <f t="shared" si="44"/>
        <v>3618</v>
      </c>
      <c r="AE147" s="50">
        <f t="shared" si="44"/>
        <v>0</v>
      </c>
      <c r="AF147" s="50">
        <f t="shared" si="44"/>
        <v>0</v>
      </c>
      <c r="AG147" s="50">
        <f t="shared" si="44"/>
        <v>0</v>
      </c>
      <c r="AH147" s="50">
        <f t="shared" si="44"/>
        <v>0</v>
      </c>
      <c r="AI147" s="50">
        <f>SUM(AI148:AI159)</f>
        <v>0</v>
      </c>
      <c r="AJ147" s="50">
        <f>SUM(AJ148:AJ159)</f>
        <v>0</v>
      </c>
      <c r="AK147" s="50">
        <f>SUM(AK148:AK159)</f>
        <v>0</v>
      </c>
      <c r="AL147" s="50">
        <f>SUM(AL148:AL159)</f>
        <v>0</v>
      </c>
      <c r="AM147" s="50">
        <f t="shared" si="44"/>
        <v>0</v>
      </c>
      <c r="AN147" s="11">
        <f aca="true" t="shared" si="45" ref="AN147:AU147">SUM(AN148:AN159)</f>
        <v>0</v>
      </c>
      <c r="AO147" s="11">
        <f t="shared" si="45"/>
        <v>0</v>
      </c>
      <c r="AP147" s="11">
        <f t="shared" si="45"/>
        <v>0</v>
      </c>
      <c r="AQ147" s="11">
        <f>SUM(AQ148:AQ159)</f>
        <v>0</v>
      </c>
      <c r="AR147" s="11">
        <f>SUM(AR148:AR159)</f>
        <v>0</v>
      </c>
      <c r="AS147" s="11">
        <f t="shared" si="45"/>
        <v>3097.0299999999997</v>
      </c>
      <c r="AT147" s="11">
        <f t="shared" si="45"/>
        <v>0</v>
      </c>
      <c r="AU147" s="11">
        <f t="shared" si="45"/>
        <v>0</v>
      </c>
      <c r="AV147" s="127">
        <v>-5905.37</v>
      </c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2:48" ht="13.5" thickTop="1">
      <c r="B148" s="149">
        <v>12</v>
      </c>
      <c r="C148" s="36" t="s">
        <v>69</v>
      </c>
      <c r="D148" s="31"/>
      <c r="E148" s="89"/>
      <c r="F148" s="85"/>
      <c r="G148" s="9" t="s">
        <v>3</v>
      </c>
      <c r="H148" s="41">
        <v>4482.92</v>
      </c>
      <c r="I148" s="19">
        <v>3526.24</v>
      </c>
      <c r="J148" s="41"/>
      <c r="K148" s="212">
        <v>1057.55</v>
      </c>
      <c r="L148" s="212">
        <v>2739</v>
      </c>
      <c r="M148" s="212">
        <v>2415.25</v>
      </c>
      <c r="N148" s="210">
        <f aca="true" t="shared" si="46" ref="N148:N159">I148*0.05</f>
        <v>176.312</v>
      </c>
      <c r="O148" s="10">
        <f t="shared" si="40"/>
        <v>1730.46</v>
      </c>
      <c r="P148" s="105"/>
      <c r="Q148" s="39">
        <v>1481</v>
      </c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>
        <v>249.46</v>
      </c>
      <c r="AT148" s="39"/>
      <c r="AU148" s="39"/>
      <c r="AV148" s="23"/>
    </row>
    <row r="149" spans="2:48" ht="12.75">
      <c r="B149" s="58">
        <v>12</v>
      </c>
      <c r="C149" s="37"/>
      <c r="D149" s="33"/>
      <c r="E149" s="90"/>
      <c r="F149" s="86"/>
      <c r="G149" s="8" t="s">
        <v>4</v>
      </c>
      <c r="H149" s="42">
        <v>4482.92</v>
      </c>
      <c r="I149" s="20">
        <v>4150.94</v>
      </c>
      <c r="J149" s="42"/>
      <c r="K149" s="213"/>
      <c r="L149" s="213"/>
      <c r="M149" s="213"/>
      <c r="N149" s="210">
        <f t="shared" si="46"/>
        <v>207.547</v>
      </c>
      <c r="O149" s="10">
        <f aca="true" t="shared" si="47" ref="O149:O159">SUM(Q149:AU149)</f>
        <v>3577.46</v>
      </c>
      <c r="P149" s="98" t="s">
        <v>207</v>
      </c>
      <c r="Q149" s="48">
        <v>1481</v>
      </c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>
        <v>1847</v>
      </c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>
        <v>249.46</v>
      </c>
      <c r="AT149" s="39"/>
      <c r="AU149" s="48"/>
      <c r="AV149" s="24"/>
    </row>
    <row r="150" spans="2:48" ht="12.75">
      <c r="B150" s="58">
        <v>12</v>
      </c>
      <c r="C150" s="37"/>
      <c r="D150" s="33"/>
      <c r="E150" s="90"/>
      <c r="F150" s="86"/>
      <c r="G150" s="8" t="s">
        <v>5</v>
      </c>
      <c r="H150" s="42">
        <v>4482.92</v>
      </c>
      <c r="I150" s="20">
        <v>4999.87</v>
      </c>
      <c r="J150" s="42"/>
      <c r="K150" s="213"/>
      <c r="L150" s="213"/>
      <c r="M150" s="213"/>
      <c r="N150" s="210">
        <f t="shared" si="46"/>
        <v>249.9935</v>
      </c>
      <c r="O150" s="10">
        <f t="shared" si="47"/>
        <v>2243.46</v>
      </c>
      <c r="P150" s="98" t="s">
        <v>213</v>
      </c>
      <c r="Q150" s="48">
        <v>1481</v>
      </c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>
        <v>513</v>
      </c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>
        <v>249.46</v>
      </c>
      <c r="AT150" s="39"/>
      <c r="AU150" s="39"/>
      <c r="AV150" s="24"/>
    </row>
    <row r="151" spans="2:48" ht="12.75">
      <c r="B151" s="58">
        <v>12</v>
      </c>
      <c r="C151" s="37"/>
      <c r="D151" s="33"/>
      <c r="E151" s="88"/>
      <c r="F151" s="86"/>
      <c r="G151" s="8" t="s">
        <v>6</v>
      </c>
      <c r="H151" s="42">
        <v>4473.04</v>
      </c>
      <c r="I151" s="20">
        <v>4044.69</v>
      </c>
      <c r="J151" s="42"/>
      <c r="K151" s="213"/>
      <c r="L151" s="213"/>
      <c r="M151" s="213"/>
      <c r="N151" s="210">
        <f t="shared" si="46"/>
        <v>202.23450000000003</v>
      </c>
      <c r="O151" s="10">
        <f t="shared" si="47"/>
        <v>1334.46</v>
      </c>
      <c r="P151" s="95"/>
      <c r="Q151" s="48">
        <v>1085</v>
      </c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>
        <v>249.46</v>
      </c>
      <c r="AT151" s="48"/>
      <c r="AU151" s="48"/>
      <c r="AV151" s="24"/>
    </row>
    <row r="152" spans="2:48" ht="12.75">
      <c r="B152" s="58">
        <v>12</v>
      </c>
      <c r="C152" s="37"/>
      <c r="D152" s="33"/>
      <c r="E152" s="88"/>
      <c r="F152" s="86"/>
      <c r="G152" s="8" t="s">
        <v>7</v>
      </c>
      <c r="H152" s="42">
        <v>4473.04</v>
      </c>
      <c r="I152" s="20">
        <v>4274.26</v>
      </c>
      <c r="J152" s="42"/>
      <c r="K152" s="213"/>
      <c r="L152" s="213"/>
      <c r="M152" s="213"/>
      <c r="N152" s="210">
        <f t="shared" si="46"/>
        <v>213.71300000000002</v>
      </c>
      <c r="O152" s="10">
        <f t="shared" si="47"/>
        <v>2272.46</v>
      </c>
      <c r="P152" s="98" t="s">
        <v>206</v>
      </c>
      <c r="Q152" s="48">
        <v>843</v>
      </c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>
        <v>1180</v>
      </c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>
        <v>249.46</v>
      </c>
      <c r="AT152" s="39"/>
      <c r="AU152" s="48"/>
      <c r="AV152" s="24"/>
    </row>
    <row r="153" spans="2:48" ht="12.75">
      <c r="B153" s="58">
        <v>12</v>
      </c>
      <c r="C153" s="37"/>
      <c r="D153" s="33"/>
      <c r="E153" s="88"/>
      <c r="F153" s="86"/>
      <c r="G153" s="8" t="s">
        <v>8</v>
      </c>
      <c r="H153" s="42">
        <v>4473.04</v>
      </c>
      <c r="I153" s="20">
        <v>5513.22</v>
      </c>
      <c r="J153" s="42"/>
      <c r="K153" s="213"/>
      <c r="L153" s="213"/>
      <c r="M153" s="213"/>
      <c r="N153" s="210">
        <f t="shared" si="46"/>
        <v>275.661</v>
      </c>
      <c r="O153" s="10">
        <f t="shared" si="47"/>
        <v>1170.46</v>
      </c>
      <c r="P153" s="98"/>
      <c r="Q153" s="48">
        <v>843</v>
      </c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>
        <v>78</v>
      </c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>
        <v>249.46</v>
      </c>
      <c r="AT153" s="48"/>
      <c r="AU153" s="48"/>
      <c r="AV153" s="24"/>
    </row>
    <row r="154" spans="2:48" ht="12.75">
      <c r="B154" s="58">
        <v>12</v>
      </c>
      <c r="C154" s="37"/>
      <c r="D154" s="33"/>
      <c r="E154" s="88"/>
      <c r="F154" s="86"/>
      <c r="G154" s="8" t="s">
        <v>9</v>
      </c>
      <c r="H154" s="42">
        <v>5599.93</v>
      </c>
      <c r="I154" s="20">
        <v>5101.1</v>
      </c>
      <c r="J154" s="42"/>
      <c r="K154" s="213"/>
      <c r="L154" s="213"/>
      <c r="M154" s="213"/>
      <c r="N154" s="210">
        <f t="shared" si="46"/>
        <v>255.05500000000004</v>
      </c>
      <c r="O154" s="10">
        <f t="shared" si="47"/>
        <v>1109.66</v>
      </c>
      <c r="P154" s="98"/>
      <c r="Q154" s="48">
        <v>843</v>
      </c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>
        <v>266.66</v>
      </c>
      <c r="AT154" s="48"/>
      <c r="AU154" s="48"/>
      <c r="AV154" s="24"/>
    </row>
    <row r="155" spans="2:48" ht="12.75">
      <c r="B155" s="58">
        <v>12</v>
      </c>
      <c r="C155" s="37"/>
      <c r="D155" s="33"/>
      <c r="E155" s="88"/>
      <c r="F155" s="86"/>
      <c r="G155" s="8" t="s">
        <v>10</v>
      </c>
      <c r="H155" s="42">
        <v>5599.93</v>
      </c>
      <c r="I155" s="20">
        <v>5314.37</v>
      </c>
      <c r="J155" s="42"/>
      <c r="K155" s="213"/>
      <c r="L155" s="213"/>
      <c r="M155" s="213"/>
      <c r="N155" s="210">
        <f t="shared" si="46"/>
        <v>265.7185</v>
      </c>
      <c r="O155" s="10">
        <f t="shared" si="47"/>
        <v>1109.66</v>
      </c>
      <c r="P155" s="98"/>
      <c r="Q155" s="48">
        <v>843</v>
      </c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>
        <v>266.66</v>
      </c>
      <c r="AT155" s="48"/>
      <c r="AU155" s="48"/>
      <c r="AV155" s="24"/>
    </row>
    <row r="156" spans="2:48" ht="12.75">
      <c r="B156" s="58">
        <v>12</v>
      </c>
      <c r="C156" s="37"/>
      <c r="D156" s="33"/>
      <c r="E156" s="88"/>
      <c r="F156" s="86"/>
      <c r="G156" s="8" t="s">
        <v>11</v>
      </c>
      <c r="H156" s="42">
        <v>5599.93</v>
      </c>
      <c r="I156" s="20">
        <v>3995.41</v>
      </c>
      <c r="J156" s="42"/>
      <c r="K156" s="213"/>
      <c r="L156" s="213"/>
      <c r="M156" s="213"/>
      <c r="N156" s="210">
        <f t="shared" si="46"/>
        <v>199.7705</v>
      </c>
      <c r="O156" s="10">
        <f t="shared" si="47"/>
        <v>1109.66</v>
      </c>
      <c r="P156" s="98"/>
      <c r="Q156" s="48">
        <v>843</v>
      </c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>
        <v>266.66</v>
      </c>
      <c r="AT156" s="48"/>
      <c r="AU156" s="48"/>
      <c r="AV156" s="24"/>
    </row>
    <row r="157" spans="2:48" ht="12.75">
      <c r="B157" s="58">
        <v>12</v>
      </c>
      <c r="C157" s="37"/>
      <c r="D157" s="33"/>
      <c r="E157" s="88"/>
      <c r="F157" s="86"/>
      <c r="G157" s="8" t="s">
        <v>12</v>
      </c>
      <c r="H157" s="42">
        <v>5608.51</v>
      </c>
      <c r="I157" s="20">
        <v>8345.13</v>
      </c>
      <c r="J157" s="42"/>
      <c r="K157" s="213"/>
      <c r="L157" s="213"/>
      <c r="M157" s="213"/>
      <c r="N157" s="210">
        <f t="shared" si="46"/>
        <v>417.25649999999996</v>
      </c>
      <c r="O157" s="10">
        <f t="shared" si="47"/>
        <v>266.66</v>
      </c>
      <c r="P157" s="98"/>
      <c r="Q157" s="48">
        <v>0</v>
      </c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>
        <v>266.66</v>
      </c>
      <c r="AT157" s="48"/>
      <c r="AU157" s="48"/>
      <c r="AV157" s="24"/>
    </row>
    <row r="158" spans="2:48" ht="12.75">
      <c r="B158" s="58">
        <v>12</v>
      </c>
      <c r="C158" s="37"/>
      <c r="D158" s="33"/>
      <c r="E158" s="88"/>
      <c r="F158" s="86"/>
      <c r="G158" s="8" t="s">
        <v>13</v>
      </c>
      <c r="H158" s="42">
        <v>5608.51</v>
      </c>
      <c r="I158" s="20">
        <v>4819.96</v>
      </c>
      <c r="J158" s="42"/>
      <c r="K158" s="213"/>
      <c r="L158" s="213"/>
      <c r="M158" s="213"/>
      <c r="N158" s="210">
        <f t="shared" si="46"/>
        <v>240.99800000000002</v>
      </c>
      <c r="O158" s="10">
        <f t="shared" si="47"/>
        <v>266.66</v>
      </c>
      <c r="P158" s="98"/>
      <c r="Q158" s="48">
        <v>0</v>
      </c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>
        <v>266.66</v>
      </c>
      <c r="AT158" s="48"/>
      <c r="AU158" s="48"/>
      <c r="AV158" s="24"/>
    </row>
    <row r="159" spans="2:48" ht="13.5" thickBot="1">
      <c r="B159" s="150">
        <v>12</v>
      </c>
      <c r="C159" s="38"/>
      <c r="D159" s="35"/>
      <c r="E159" s="125"/>
      <c r="F159" s="87"/>
      <c r="G159" s="12" t="s">
        <v>14</v>
      </c>
      <c r="H159" s="42">
        <v>5615.03</v>
      </c>
      <c r="I159" s="21">
        <v>7183.33</v>
      </c>
      <c r="J159" s="42"/>
      <c r="K159" s="213"/>
      <c r="L159" s="213"/>
      <c r="M159" s="213"/>
      <c r="N159" s="210">
        <f t="shared" si="46"/>
        <v>359.16650000000004</v>
      </c>
      <c r="O159" s="10">
        <f t="shared" si="47"/>
        <v>266.97</v>
      </c>
      <c r="P159" s="108"/>
      <c r="Q159" s="49">
        <v>0</v>
      </c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>
        <v>266.97</v>
      </c>
      <c r="AT159" s="49"/>
      <c r="AU159" s="49"/>
      <c r="AV159" s="128">
        <f>AV147+I147+J147-K147-L147-M147-N147-O147</f>
        <v>29629.894</v>
      </c>
    </row>
    <row r="160" spans="2:48" ht="14.25" thickBot="1" thickTop="1">
      <c r="B160" s="148">
        <v>13</v>
      </c>
      <c r="C160" s="59" t="s">
        <v>18</v>
      </c>
      <c r="D160" s="29">
        <v>40</v>
      </c>
      <c r="E160" s="141" t="s">
        <v>51</v>
      </c>
      <c r="F160" s="84">
        <v>465.8</v>
      </c>
      <c r="G160" s="50"/>
      <c r="H160" s="69">
        <v>39474.020000000004</v>
      </c>
      <c r="I160" s="69">
        <v>39756.96</v>
      </c>
      <c r="J160" s="69">
        <f>SUM(J161:J172)</f>
        <v>0</v>
      </c>
      <c r="K160" s="211">
        <f>SUM(K161:K172)</f>
        <v>0</v>
      </c>
      <c r="L160" s="211">
        <f>SUM(L161:L172)</f>
        <v>1189.36</v>
      </c>
      <c r="M160" s="211">
        <f>SUM(M161:M172)</f>
        <v>947.86</v>
      </c>
      <c r="N160" s="215">
        <f>SUM(N161:N172)</f>
        <v>1987.848</v>
      </c>
      <c r="O160" s="16">
        <f>SUM(Q160:AU160)</f>
        <v>22461.239999999998</v>
      </c>
      <c r="P160" s="99"/>
      <c r="Q160" s="11">
        <f>SUM(Q161:Q172)</f>
        <v>15179</v>
      </c>
      <c r="R160" s="11">
        <f>SUM(R161:R172)</f>
        <v>0</v>
      </c>
      <c r="S160" s="11">
        <f>SUM(S161:S172)</f>
        <v>0</v>
      </c>
      <c r="T160" s="11">
        <f>SUM(T161:T172)</f>
        <v>0</v>
      </c>
      <c r="U160" s="11">
        <f>SUM(U161:U172)</f>
        <v>0</v>
      </c>
      <c r="V160" s="50">
        <f aca="true" t="shared" si="48" ref="V160:AM160">SUM(V161:V172)</f>
        <v>0</v>
      </c>
      <c r="W160" s="50">
        <f t="shared" si="48"/>
        <v>0</v>
      </c>
      <c r="X160" s="50">
        <f t="shared" si="48"/>
        <v>0</v>
      </c>
      <c r="Y160" s="50">
        <f t="shared" si="48"/>
        <v>0</v>
      </c>
      <c r="Z160" s="50">
        <f>SUM(Z161:Z172)</f>
        <v>0</v>
      </c>
      <c r="AA160" s="50">
        <f>SUM(AA161:AA172)</f>
        <v>0</v>
      </c>
      <c r="AB160" s="50">
        <f t="shared" si="48"/>
        <v>0</v>
      </c>
      <c r="AC160" s="50">
        <f t="shared" si="48"/>
        <v>0</v>
      </c>
      <c r="AD160" s="50">
        <f t="shared" si="48"/>
        <v>0</v>
      </c>
      <c r="AE160" s="50">
        <f t="shared" si="48"/>
        <v>0</v>
      </c>
      <c r="AF160" s="50">
        <f t="shared" si="48"/>
        <v>4335</v>
      </c>
      <c r="AG160" s="50">
        <f t="shared" si="48"/>
        <v>0</v>
      </c>
      <c r="AH160" s="50">
        <f t="shared" si="48"/>
        <v>0</v>
      </c>
      <c r="AI160" s="50">
        <f>SUM(AI161:AI172)</f>
        <v>0</v>
      </c>
      <c r="AJ160" s="50">
        <f>SUM(AJ161:AJ172)</f>
        <v>0</v>
      </c>
      <c r="AK160" s="50">
        <f>SUM(AK161:AK172)</f>
        <v>0</v>
      </c>
      <c r="AL160" s="50">
        <f>SUM(AL161:AL172)</f>
        <v>0</v>
      </c>
      <c r="AM160" s="50">
        <f t="shared" si="48"/>
        <v>0</v>
      </c>
      <c r="AN160" s="11">
        <f aca="true" t="shared" si="49" ref="AN160:AU160">SUM(AN161:AN172)</f>
        <v>0</v>
      </c>
      <c r="AO160" s="11">
        <f t="shared" si="49"/>
        <v>0</v>
      </c>
      <c r="AP160" s="11">
        <f t="shared" si="49"/>
        <v>0</v>
      </c>
      <c r="AQ160" s="11">
        <f>SUM(AQ161:AQ172)</f>
        <v>999.6</v>
      </c>
      <c r="AR160" s="11">
        <f>SUM(AR161:AR172)</f>
        <v>0</v>
      </c>
      <c r="AS160" s="11">
        <f t="shared" si="49"/>
        <v>1499.6400000000003</v>
      </c>
      <c r="AT160" s="11">
        <f t="shared" si="49"/>
        <v>0</v>
      </c>
      <c r="AU160" s="11">
        <f t="shared" si="49"/>
        <v>448</v>
      </c>
      <c r="AV160" s="127">
        <v>6105.45</v>
      </c>
    </row>
    <row r="161" spans="2:48" ht="13.5" thickTop="1">
      <c r="B161" s="149">
        <v>13</v>
      </c>
      <c r="C161" s="36" t="s">
        <v>70</v>
      </c>
      <c r="D161" s="31"/>
      <c r="E161" s="89"/>
      <c r="F161" s="85"/>
      <c r="G161" s="9" t="s">
        <v>3</v>
      </c>
      <c r="H161" s="41">
        <v>1821.56</v>
      </c>
      <c r="I161" s="19">
        <v>1276.65</v>
      </c>
      <c r="J161" s="41"/>
      <c r="K161" s="212"/>
      <c r="L161" s="212">
        <v>1189.36</v>
      </c>
      <c r="M161" s="212">
        <v>947.86</v>
      </c>
      <c r="N161" s="210">
        <f aca="true" t="shared" si="50" ref="N161:N172">I161*0.05</f>
        <v>63.83250000000001</v>
      </c>
      <c r="O161" s="10">
        <f>SUM(Q161:AU161)</f>
        <v>2453.59</v>
      </c>
      <c r="P161" s="107"/>
      <c r="Q161" s="39">
        <v>2352</v>
      </c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>
        <v>101.59</v>
      </c>
      <c r="AT161" s="39"/>
      <c r="AU161" s="39"/>
      <c r="AV161" s="23"/>
    </row>
    <row r="162" spans="2:48" ht="12.75">
      <c r="B162" s="58">
        <v>13</v>
      </c>
      <c r="C162" s="37"/>
      <c r="D162" s="33"/>
      <c r="E162" s="90"/>
      <c r="F162" s="86"/>
      <c r="G162" s="8" t="s">
        <v>4</v>
      </c>
      <c r="H162" s="42">
        <v>1821.56</v>
      </c>
      <c r="I162" s="20">
        <v>978.12</v>
      </c>
      <c r="J162" s="42"/>
      <c r="K162" s="213"/>
      <c r="L162" s="213"/>
      <c r="M162" s="213"/>
      <c r="N162" s="210">
        <f t="shared" si="50"/>
        <v>48.906000000000006</v>
      </c>
      <c r="O162" s="10">
        <f aca="true" t="shared" si="51" ref="O162:O172">SUM(Q162:AU162)</f>
        <v>3987.59</v>
      </c>
      <c r="P162" s="98"/>
      <c r="Q162" s="48">
        <v>2352</v>
      </c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>
        <v>1534</v>
      </c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>
        <v>101.59</v>
      </c>
      <c r="AT162" s="39"/>
      <c r="AU162" s="48"/>
      <c r="AV162" s="24"/>
    </row>
    <row r="163" spans="2:48" ht="12.75">
      <c r="B163" s="58">
        <v>13</v>
      </c>
      <c r="C163" s="37"/>
      <c r="D163" s="33"/>
      <c r="E163" s="88"/>
      <c r="F163" s="86"/>
      <c r="G163" s="8" t="s">
        <v>5</v>
      </c>
      <c r="H163" s="42">
        <v>1821.56</v>
      </c>
      <c r="I163" s="20">
        <v>1897.43</v>
      </c>
      <c r="J163" s="42"/>
      <c r="K163" s="213"/>
      <c r="L163" s="213"/>
      <c r="M163" s="213"/>
      <c r="N163" s="210">
        <f t="shared" si="50"/>
        <v>94.87150000000001</v>
      </c>
      <c r="O163" s="10">
        <f t="shared" si="51"/>
        <v>5254.59</v>
      </c>
      <c r="P163" s="98"/>
      <c r="Q163" s="48">
        <v>2352</v>
      </c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>
        <v>2801</v>
      </c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>
        <v>101.59</v>
      </c>
      <c r="AT163" s="39"/>
      <c r="AU163" s="39"/>
      <c r="AV163" s="24"/>
    </row>
    <row r="164" spans="2:48" ht="12.75">
      <c r="B164" s="58">
        <v>13</v>
      </c>
      <c r="C164" s="37"/>
      <c r="D164" s="33"/>
      <c r="E164" s="88"/>
      <c r="F164" s="86"/>
      <c r="G164" s="8" t="s">
        <v>6</v>
      </c>
      <c r="H164" s="42">
        <v>1821.56</v>
      </c>
      <c r="I164" s="20">
        <v>2090.55</v>
      </c>
      <c r="J164" s="42"/>
      <c r="K164" s="213"/>
      <c r="L164" s="213"/>
      <c r="M164" s="213"/>
      <c r="N164" s="210">
        <f t="shared" si="50"/>
        <v>104.52750000000002</v>
      </c>
      <c r="O164" s="10">
        <f t="shared" si="51"/>
        <v>1130.5900000000001</v>
      </c>
      <c r="P164" s="173"/>
      <c r="Q164" s="48">
        <v>889</v>
      </c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>
        <v>101.59</v>
      </c>
      <c r="AT164" s="48"/>
      <c r="AU164" s="48">
        <v>140</v>
      </c>
      <c r="AV164" s="24"/>
    </row>
    <row r="165" spans="2:48" ht="12.75">
      <c r="B165" s="58">
        <v>13</v>
      </c>
      <c r="C165" s="37"/>
      <c r="D165" s="33"/>
      <c r="E165" s="88"/>
      <c r="F165" s="86"/>
      <c r="G165" s="8" t="s">
        <v>7</v>
      </c>
      <c r="H165" s="42">
        <v>1821.56</v>
      </c>
      <c r="I165" s="20">
        <v>2224.85</v>
      </c>
      <c r="J165" s="42"/>
      <c r="K165" s="213"/>
      <c r="L165" s="213"/>
      <c r="M165" s="213"/>
      <c r="N165" s="210">
        <f t="shared" si="50"/>
        <v>111.2425</v>
      </c>
      <c r="O165" s="10">
        <f t="shared" si="51"/>
        <v>990.59</v>
      </c>
      <c r="P165" s="98"/>
      <c r="Q165" s="48">
        <v>889</v>
      </c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>
        <v>101.59</v>
      </c>
      <c r="AT165" s="39"/>
      <c r="AU165" s="48"/>
      <c r="AV165" s="24"/>
    </row>
    <row r="166" spans="2:48" ht="12.75">
      <c r="B166" s="58">
        <v>13</v>
      </c>
      <c r="C166" s="37"/>
      <c r="D166" s="33"/>
      <c r="E166" s="88"/>
      <c r="F166" s="86"/>
      <c r="G166" s="8" t="s">
        <v>8</v>
      </c>
      <c r="H166" s="42">
        <v>9889.36</v>
      </c>
      <c r="I166" s="20">
        <v>737.96</v>
      </c>
      <c r="J166" s="42"/>
      <c r="K166" s="213"/>
      <c r="L166" s="213"/>
      <c r="M166" s="213"/>
      <c r="N166" s="210">
        <f t="shared" si="50"/>
        <v>36.898</v>
      </c>
      <c r="O166" s="10">
        <f t="shared" si="51"/>
        <v>1074.5900000000001</v>
      </c>
      <c r="P166" s="98"/>
      <c r="Q166" s="48">
        <v>889</v>
      </c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>
        <v>101.59</v>
      </c>
      <c r="AT166" s="48"/>
      <c r="AU166" s="48">
        <v>84</v>
      </c>
      <c r="AV166" s="24"/>
    </row>
    <row r="167" spans="2:48" ht="12.75">
      <c r="B167" s="58">
        <v>13</v>
      </c>
      <c r="C167" s="37"/>
      <c r="D167" s="33"/>
      <c r="E167" s="88"/>
      <c r="F167" s="86"/>
      <c r="G167" s="8" t="s">
        <v>9</v>
      </c>
      <c r="H167" s="42">
        <v>2977.02</v>
      </c>
      <c r="I167" s="20">
        <v>9666.96</v>
      </c>
      <c r="J167" s="42"/>
      <c r="K167" s="213"/>
      <c r="L167" s="213"/>
      <c r="M167" s="213"/>
      <c r="N167" s="210">
        <f t="shared" si="50"/>
        <v>483.34799999999996</v>
      </c>
      <c r="O167" s="10">
        <f t="shared" si="51"/>
        <v>1030.76</v>
      </c>
      <c r="P167" s="98"/>
      <c r="Q167" s="48">
        <v>889</v>
      </c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>
        <v>141.76</v>
      </c>
      <c r="AT167" s="48"/>
      <c r="AU167" s="48"/>
      <c r="AV167" s="24"/>
    </row>
    <row r="168" spans="2:48" ht="12.75">
      <c r="B168" s="58">
        <v>13</v>
      </c>
      <c r="C168" s="37"/>
      <c r="D168" s="33"/>
      <c r="E168" s="88"/>
      <c r="F168" s="86"/>
      <c r="G168" s="8" t="s">
        <v>10</v>
      </c>
      <c r="H168" s="42">
        <v>9299.75</v>
      </c>
      <c r="I168" s="20">
        <v>3370.65</v>
      </c>
      <c r="J168" s="42"/>
      <c r="K168" s="213"/>
      <c r="L168" s="213"/>
      <c r="M168" s="213"/>
      <c r="N168" s="210">
        <f t="shared" si="50"/>
        <v>168.53250000000003</v>
      </c>
      <c r="O168" s="10">
        <f t="shared" si="51"/>
        <v>1030.76</v>
      </c>
      <c r="P168" s="98"/>
      <c r="Q168" s="48">
        <v>889</v>
      </c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>
        <v>141.76</v>
      </c>
      <c r="AT168" s="48"/>
      <c r="AU168" s="48"/>
      <c r="AV168" s="24"/>
    </row>
    <row r="169" spans="2:48" ht="12.75">
      <c r="B169" s="58">
        <v>13</v>
      </c>
      <c r="C169" s="37"/>
      <c r="D169" s="33"/>
      <c r="E169" s="88"/>
      <c r="F169" s="86"/>
      <c r="G169" s="8" t="s">
        <v>11</v>
      </c>
      <c r="H169" s="42">
        <v>3253.7</v>
      </c>
      <c r="I169" s="20">
        <v>8585.22</v>
      </c>
      <c r="J169" s="42"/>
      <c r="K169" s="213"/>
      <c r="L169" s="213"/>
      <c r="M169" s="213"/>
      <c r="N169" s="210">
        <f t="shared" si="50"/>
        <v>429.26099999999997</v>
      </c>
      <c r="O169" s="10">
        <f t="shared" si="51"/>
        <v>2170.3599999999997</v>
      </c>
      <c r="P169" s="98"/>
      <c r="Q169" s="48">
        <v>889</v>
      </c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>
        <v>999.6</v>
      </c>
      <c r="AR169" s="48"/>
      <c r="AS169" s="48">
        <v>141.76</v>
      </c>
      <c r="AT169" s="48"/>
      <c r="AU169" s="48">
        <v>140</v>
      </c>
      <c r="AV169" s="24"/>
    </row>
    <row r="170" spans="2:48" ht="12.75">
      <c r="B170" s="58">
        <v>13</v>
      </c>
      <c r="C170" s="37"/>
      <c r="D170" s="33"/>
      <c r="E170" s="88"/>
      <c r="F170" s="86"/>
      <c r="G170" s="8" t="s">
        <v>12</v>
      </c>
      <c r="H170" s="42">
        <v>844.66</v>
      </c>
      <c r="I170" s="20">
        <v>4309.43</v>
      </c>
      <c r="J170" s="42"/>
      <c r="K170" s="213"/>
      <c r="L170" s="213"/>
      <c r="M170" s="213"/>
      <c r="N170" s="210">
        <f t="shared" si="50"/>
        <v>215.47150000000002</v>
      </c>
      <c r="O170" s="10">
        <f t="shared" si="51"/>
        <v>1043.94</v>
      </c>
      <c r="P170" s="98"/>
      <c r="Q170" s="48">
        <v>889</v>
      </c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>
        <v>154.94</v>
      </c>
      <c r="AT170" s="48"/>
      <c r="AU170" s="48"/>
      <c r="AV170" s="24"/>
    </row>
    <row r="171" spans="2:48" ht="12.75">
      <c r="B171" s="58">
        <v>13</v>
      </c>
      <c r="C171" s="37"/>
      <c r="D171" s="33"/>
      <c r="E171" s="88"/>
      <c r="F171" s="86"/>
      <c r="G171" s="8" t="s">
        <v>13</v>
      </c>
      <c r="H171" s="42">
        <v>2049.18</v>
      </c>
      <c r="I171" s="20">
        <v>2594.88</v>
      </c>
      <c r="J171" s="42"/>
      <c r="K171" s="213"/>
      <c r="L171" s="213"/>
      <c r="M171" s="213"/>
      <c r="N171" s="210">
        <f t="shared" si="50"/>
        <v>129.744</v>
      </c>
      <c r="O171" s="10">
        <f t="shared" si="51"/>
        <v>1043.94</v>
      </c>
      <c r="P171" s="98"/>
      <c r="Q171" s="48">
        <v>889</v>
      </c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>
        <v>154.94</v>
      </c>
      <c r="AT171" s="48"/>
      <c r="AU171" s="48"/>
      <c r="AV171" s="24"/>
    </row>
    <row r="172" spans="2:48" ht="13.5" thickBot="1">
      <c r="B172" s="150">
        <v>13</v>
      </c>
      <c r="C172" s="38"/>
      <c r="D172" s="35"/>
      <c r="E172" s="125"/>
      <c r="F172" s="87"/>
      <c r="G172" s="12" t="s">
        <v>14</v>
      </c>
      <c r="H172" s="42">
        <v>2052.55</v>
      </c>
      <c r="I172" s="21">
        <v>2024.26</v>
      </c>
      <c r="J172" s="42"/>
      <c r="K172" s="213"/>
      <c r="L172" s="213"/>
      <c r="M172" s="213"/>
      <c r="N172" s="210">
        <f t="shared" si="50"/>
        <v>101.21300000000001</v>
      </c>
      <c r="O172" s="10">
        <f t="shared" si="51"/>
        <v>1249.94</v>
      </c>
      <c r="P172" s="108"/>
      <c r="Q172" s="49">
        <v>1011</v>
      </c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>
        <v>154.94</v>
      </c>
      <c r="AT172" s="49"/>
      <c r="AU172" s="49">
        <v>84</v>
      </c>
      <c r="AV172" s="128">
        <f>AV160+I160+J160-K160-L160-M160-N160-O160</f>
        <v>19276.102</v>
      </c>
    </row>
    <row r="173" spans="2:48" ht="14.25" thickBot="1" thickTop="1">
      <c r="B173" s="148">
        <v>14</v>
      </c>
      <c r="C173" s="59" t="s">
        <v>18</v>
      </c>
      <c r="D173" s="29">
        <v>87</v>
      </c>
      <c r="E173" s="141" t="s">
        <v>44</v>
      </c>
      <c r="F173" s="84">
        <v>2840.6</v>
      </c>
      <c r="G173" s="50"/>
      <c r="H173" s="69">
        <v>202957.42999999996</v>
      </c>
      <c r="I173" s="69">
        <v>221941.87</v>
      </c>
      <c r="J173" s="69">
        <f>SUM(J174:J185)</f>
        <v>0</v>
      </c>
      <c r="K173" s="211">
        <f>SUM(K174:K185)</f>
        <v>0</v>
      </c>
      <c r="L173" s="211">
        <f>SUM(L174:L185)</f>
        <v>5273.22</v>
      </c>
      <c r="M173" s="211">
        <f>SUM(M174:M185)</f>
        <v>7923.22</v>
      </c>
      <c r="N173" s="215">
        <f>SUM(N174:N185)</f>
        <v>11097.093499999999</v>
      </c>
      <c r="O173" s="16">
        <f>SUM(Q173:AU173)</f>
        <v>152366.98</v>
      </c>
      <c r="P173" s="99"/>
      <c r="Q173" s="11">
        <f>SUM(Q174:Q185)</f>
        <v>110045</v>
      </c>
      <c r="R173" s="11">
        <f>SUM(R174:R185)</f>
        <v>0</v>
      </c>
      <c r="S173" s="11">
        <f>SUM(S174:S185)</f>
        <v>433</v>
      </c>
      <c r="T173" s="11">
        <f>SUM(T174:T185)</f>
        <v>0</v>
      </c>
      <c r="U173" s="11">
        <f>SUM(U174:U185)</f>
        <v>251</v>
      </c>
      <c r="V173" s="50">
        <f aca="true" t="shared" si="52" ref="V173:AM173">SUM(V174:V185)</f>
        <v>11615</v>
      </c>
      <c r="W173" s="50">
        <f t="shared" si="52"/>
        <v>2143</v>
      </c>
      <c r="X173" s="50">
        <f t="shared" si="52"/>
        <v>141</v>
      </c>
      <c r="Y173" s="50">
        <f t="shared" si="52"/>
        <v>0</v>
      </c>
      <c r="Z173" s="50">
        <f>SUM(Z174:Z185)</f>
        <v>0</v>
      </c>
      <c r="AA173" s="50">
        <f>SUM(AA174:AA185)</f>
        <v>0</v>
      </c>
      <c r="AB173" s="50">
        <f t="shared" si="52"/>
        <v>0</v>
      </c>
      <c r="AC173" s="50">
        <f t="shared" si="52"/>
        <v>0</v>
      </c>
      <c r="AD173" s="50">
        <f t="shared" si="52"/>
        <v>11700</v>
      </c>
      <c r="AE173" s="50">
        <f t="shared" si="52"/>
        <v>0</v>
      </c>
      <c r="AF173" s="50">
        <f t="shared" si="52"/>
        <v>3765</v>
      </c>
      <c r="AG173" s="50">
        <f t="shared" si="52"/>
        <v>118</v>
      </c>
      <c r="AH173" s="50">
        <f t="shared" si="52"/>
        <v>0</v>
      </c>
      <c r="AI173" s="50">
        <f>SUM(AI174:AI185)</f>
        <v>0</v>
      </c>
      <c r="AJ173" s="50">
        <f>SUM(AJ174:AJ185)</f>
        <v>0</v>
      </c>
      <c r="AK173" s="50">
        <f>SUM(AK174:AK185)</f>
        <v>0</v>
      </c>
      <c r="AL173" s="50">
        <f>SUM(AL174:AL185)</f>
        <v>0</v>
      </c>
      <c r="AM173" s="50">
        <f t="shared" si="52"/>
        <v>0</v>
      </c>
      <c r="AN173" s="11">
        <f aca="true" t="shared" si="53" ref="AN173:AU173">SUM(AN174:AN185)</f>
        <v>0</v>
      </c>
      <c r="AO173" s="11">
        <f t="shared" si="53"/>
        <v>0</v>
      </c>
      <c r="AP173" s="11">
        <f t="shared" si="53"/>
        <v>0</v>
      </c>
      <c r="AQ173" s="11">
        <f>SUM(AQ174:AQ185)</f>
        <v>0</v>
      </c>
      <c r="AR173" s="11">
        <f>SUM(AR174:AR185)</f>
        <v>0</v>
      </c>
      <c r="AS173" s="11">
        <f t="shared" si="53"/>
        <v>9975.980000000003</v>
      </c>
      <c r="AT173" s="11">
        <f t="shared" si="53"/>
        <v>0</v>
      </c>
      <c r="AU173" s="11">
        <f t="shared" si="53"/>
        <v>2180</v>
      </c>
      <c r="AV173" s="127">
        <v>-26724.41</v>
      </c>
    </row>
    <row r="174" spans="2:48" ht="13.5" thickTop="1">
      <c r="B174" s="149">
        <v>14</v>
      </c>
      <c r="C174" s="36" t="s">
        <v>70</v>
      </c>
      <c r="D174" s="31"/>
      <c r="E174" s="89"/>
      <c r="F174" s="85"/>
      <c r="G174" s="9" t="s">
        <v>3</v>
      </c>
      <c r="H174" s="41">
        <v>16116.77</v>
      </c>
      <c r="I174" s="19">
        <v>12988.85</v>
      </c>
      <c r="J174" s="41"/>
      <c r="K174" s="212"/>
      <c r="L174" s="212">
        <v>5273.22</v>
      </c>
      <c r="M174" s="212">
        <v>7923.22</v>
      </c>
      <c r="N174" s="210">
        <f aca="true" t="shared" si="54" ref="N174:N185">I174*0.05</f>
        <v>649.4425000000001</v>
      </c>
      <c r="O174" s="10">
        <f>SUM(Q174:AU174)</f>
        <v>13051.07</v>
      </c>
      <c r="P174" s="106"/>
      <c r="Q174" s="23">
        <v>12248</v>
      </c>
      <c r="R174" s="23"/>
      <c r="S174" s="23"/>
      <c r="T174" s="23"/>
      <c r="U174" s="23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23"/>
      <c r="AO174" s="23"/>
      <c r="AP174" s="23"/>
      <c r="AQ174" s="23"/>
      <c r="AR174" s="23"/>
      <c r="AS174" s="23">
        <v>803.07</v>
      </c>
      <c r="AT174" s="23"/>
      <c r="AU174" s="23"/>
      <c r="AV174" s="23"/>
    </row>
    <row r="175" spans="2:48" ht="12.75">
      <c r="B175" s="58">
        <v>14</v>
      </c>
      <c r="C175" s="37"/>
      <c r="D175" s="33"/>
      <c r="E175" s="90"/>
      <c r="F175" s="86"/>
      <c r="G175" s="8" t="s">
        <v>4</v>
      </c>
      <c r="H175" s="42">
        <v>16116.77</v>
      </c>
      <c r="I175" s="20">
        <v>13374.38</v>
      </c>
      <c r="J175" s="42"/>
      <c r="K175" s="213"/>
      <c r="L175" s="213"/>
      <c r="M175" s="213"/>
      <c r="N175" s="210">
        <f t="shared" si="54"/>
        <v>668.719</v>
      </c>
      <c r="O175" s="10">
        <f aca="true" t="shared" si="55" ref="O175:O185">SUM(Q175:AU175)</f>
        <v>13051.07</v>
      </c>
      <c r="P175" s="101"/>
      <c r="Q175" s="24">
        <v>12248</v>
      </c>
      <c r="R175" s="24"/>
      <c r="S175" s="45"/>
      <c r="T175" s="24"/>
      <c r="U175" s="24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24"/>
      <c r="AO175" s="24"/>
      <c r="AP175" s="24"/>
      <c r="AQ175" s="24"/>
      <c r="AR175" s="24"/>
      <c r="AS175" s="24">
        <v>803.07</v>
      </c>
      <c r="AT175" s="23"/>
      <c r="AU175" s="24"/>
      <c r="AV175" s="24"/>
    </row>
    <row r="176" spans="2:48" ht="12.75">
      <c r="B176" s="58">
        <v>14</v>
      </c>
      <c r="C176" s="37"/>
      <c r="D176" s="33"/>
      <c r="E176" s="88"/>
      <c r="F176" s="86"/>
      <c r="G176" s="8" t="s">
        <v>5</v>
      </c>
      <c r="H176" s="42">
        <v>16116.77</v>
      </c>
      <c r="I176" s="20">
        <v>15632.33</v>
      </c>
      <c r="J176" s="42"/>
      <c r="K176" s="213"/>
      <c r="L176" s="213"/>
      <c r="M176" s="213"/>
      <c r="N176" s="210">
        <f t="shared" si="54"/>
        <v>781.6165000000001</v>
      </c>
      <c r="O176" s="10">
        <f t="shared" si="55"/>
        <v>16934.07</v>
      </c>
      <c r="P176" s="101"/>
      <c r="Q176" s="45">
        <v>12248</v>
      </c>
      <c r="R176" s="24"/>
      <c r="S176" s="45"/>
      <c r="T176" s="24"/>
      <c r="U176" s="24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>
        <v>3765</v>
      </c>
      <c r="AG176" s="48">
        <v>118</v>
      </c>
      <c r="AH176" s="48"/>
      <c r="AI176" s="48"/>
      <c r="AJ176" s="48"/>
      <c r="AK176" s="48"/>
      <c r="AL176" s="48"/>
      <c r="AM176" s="48"/>
      <c r="AN176" s="24"/>
      <c r="AO176" s="24"/>
      <c r="AP176" s="24"/>
      <c r="AQ176" s="24"/>
      <c r="AR176" s="24"/>
      <c r="AS176" s="24">
        <v>803.07</v>
      </c>
      <c r="AT176" s="23"/>
      <c r="AU176" s="23"/>
      <c r="AV176" s="24"/>
    </row>
    <row r="177" spans="2:48" ht="12.75">
      <c r="B177" s="58">
        <v>14</v>
      </c>
      <c r="C177" s="37"/>
      <c r="D177" s="33"/>
      <c r="E177" s="88"/>
      <c r="F177" s="86"/>
      <c r="G177" s="8" t="s">
        <v>6</v>
      </c>
      <c r="H177" s="42">
        <v>16116.77</v>
      </c>
      <c r="I177" s="20">
        <v>15710.55</v>
      </c>
      <c r="J177" s="42"/>
      <c r="K177" s="213"/>
      <c r="L177" s="213"/>
      <c r="M177" s="213"/>
      <c r="N177" s="210">
        <f t="shared" si="54"/>
        <v>785.5275</v>
      </c>
      <c r="O177" s="10">
        <f t="shared" si="55"/>
        <v>13088.07</v>
      </c>
      <c r="P177" s="103" t="s">
        <v>228</v>
      </c>
      <c r="Q177" s="48">
        <v>8584</v>
      </c>
      <c r="R177" s="24"/>
      <c r="S177" s="24"/>
      <c r="T177" s="24"/>
      <c r="U177" s="24"/>
      <c r="V177" s="48"/>
      <c r="W177" s="48"/>
      <c r="X177" s="48">
        <v>31</v>
      </c>
      <c r="Y177" s="48"/>
      <c r="Z177" s="48"/>
      <c r="AA177" s="48"/>
      <c r="AB177" s="48"/>
      <c r="AC177" s="48"/>
      <c r="AD177" s="48">
        <v>3042</v>
      </c>
      <c r="AE177" s="48"/>
      <c r="AF177" s="48"/>
      <c r="AG177" s="48"/>
      <c r="AH177" s="48"/>
      <c r="AI177" s="48"/>
      <c r="AJ177" s="48"/>
      <c r="AK177" s="48"/>
      <c r="AL177" s="48"/>
      <c r="AM177" s="48"/>
      <c r="AN177" s="24"/>
      <c r="AO177" s="24"/>
      <c r="AP177" s="24"/>
      <c r="AQ177" s="24"/>
      <c r="AR177" s="24"/>
      <c r="AS177" s="24">
        <v>803.07</v>
      </c>
      <c r="AT177" s="24"/>
      <c r="AU177" s="24">
        <v>628</v>
      </c>
      <c r="AV177" s="24"/>
    </row>
    <row r="178" spans="2:48" ht="12.75">
      <c r="B178" s="58">
        <v>14</v>
      </c>
      <c r="C178" s="37"/>
      <c r="D178" s="33"/>
      <c r="E178" s="88"/>
      <c r="F178" s="86"/>
      <c r="G178" s="8" t="s">
        <v>7</v>
      </c>
      <c r="H178" s="42">
        <v>15954.5</v>
      </c>
      <c r="I178" s="20">
        <v>18429.11</v>
      </c>
      <c r="J178" s="42"/>
      <c r="K178" s="213"/>
      <c r="L178" s="213"/>
      <c r="M178" s="213"/>
      <c r="N178" s="210">
        <f t="shared" si="54"/>
        <v>921.4555</v>
      </c>
      <c r="O178" s="10">
        <f t="shared" si="55"/>
        <v>11120.07</v>
      </c>
      <c r="P178" s="101"/>
      <c r="Q178" s="48">
        <v>8174</v>
      </c>
      <c r="R178" s="24"/>
      <c r="S178" s="24"/>
      <c r="T178" s="24"/>
      <c r="U178" s="24"/>
      <c r="V178" s="48"/>
      <c r="W178" s="48">
        <v>2143</v>
      </c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24"/>
      <c r="AO178" s="24"/>
      <c r="AP178" s="24"/>
      <c r="AQ178" s="24"/>
      <c r="AR178" s="24"/>
      <c r="AS178" s="24">
        <v>803.07</v>
      </c>
      <c r="AT178" s="23"/>
      <c r="AU178" s="24"/>
      <c r="AV178" s="24"/>
    </row>
    <row r="179" spans="2:48" ht="12.75">
      <c r="B179" s="58">
        <v>14</v>
      </c>
      <c r="C179" s="37"/>
      <c r="D179" s="33"/>
      <c r="E179" s="88"/>
      <c r="F179" s="86"/>
      <c r="G179" s="8" t="s">
        <v>8</v>
      </c>
      <c r="H179" s="42">
        <v>16106.87</v>
      </c>
      <c r="I179" s="20">
        <v>12342.84</v>
      </c>
      <c r="J179" s="42"/>
      <c r="K179" s="213"/>
      <c r="L179" s="213"/>
      <c r="M179" s="213"/>
      <c r="N179" s="210">
        <f t="shared" si="54"/>
        <v>617.142</v>
      </c>
      <c r="O179" s="10">
        <f t="shared" si="55"/>
        <v>29281.99</v>
      </c>
      <c r="P179" s="101" t="s">
        <v>380</v>
      </c>
      <c r="Q179" s="48">
        <v>8174</v>
      </c>
      <c r="R179" s="24"/>
      <c r="S179" s="24"/>
      <c r="T179" s="24"/>
      <c r="U179" s="24"/>
      <c r="V179" s="48">
        <v>11615</v>
      </c>
      <c r="W179" s="48"/>
      <c r="X179" s="48">
        <v>110</v>
      </c>
      <c r="Y179" s="48"/>
      <c r="Z179" s="48"/>
      <c r="AA179" s="48"/>
      <c r="AB179" s="48"/>
      <c r="AC179" s="48"/>
      <c r="AD179" s="48">
        <f>8007+110</f>
        <v>8117</v>
      </c>
      <c r="AE179" s="48"/>
      <c r="AF179" s="48"/>
      <c r="AG179" s="48"/>
      <c r="AH179" s="48"/>
      <c r="AI179" s="48"/>
      <c r="AJ179" s="48"/>
      <c r="AK179" s="48"/>
      <c r="AL179" s="48"/>
      <c r="AM179" s="48"/>
      <c r="AN179" s="24"/>
      <c r="AO179" s="24"/>
      <c r="AP179" s="24"/>
      <c r="AQ179" s="24"/>
      <c r="AR179" s="24"/>
      <c r="AS179" s="24">
        <v>803.99</v>
      </c>
      <c r="AT179" s="24"/>
      <c r="AU179" s="24">
        <v>462</v>
      </c>
      <c r="AV179" s="24"/>
    </row>
    <row r="180" spans="2:48" ht="12.75">
      <c r="B180" s="58">
        <v>14</v>
      </c>
      <c r="C180" s="37"/>
      <c r="D180" s="33"/>
      <c r="E180" s="88"/>
      <c r="F180" s="86"/>
      <c r="G180" s="8" t="s">
        <v>9</v>
      </c>
      <c r="H180" s="42">
        <v>18016.42</v>
      </c>
      <c r="I180" s="20">
        <v>21775</v>
      </c>
      <c r="J180" s="42"/>
      <c r="K180" s="213"/>
      <c r="L180" s="213"/>
      <c r="M180" s="213"/>
      <c r="N180" s="210">
        <f t="shared" si="54"/>
        <v>1088.75</v>
      </c>
      <c r="O180" s="10">
        <f t="shared" si="55"/>
        <v>9033.44</v>
      </c>
      <c r="P180" s="101"/>
      <c r="Q180" s="48">
        <v>8174</v>
      </c>
      <c r="R180" s="24"/>
      <c r="S180" s="24"/>
      <c r="T180" s="24"/>
      <c r="U180" s="24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24"/>
      <c r="AO180" s="24"/>
      <c r="AP180" s="24"/>
      <c r="AQ180" s="24"/>
      <c r="AR180" s="24"/>
      <c r="AS180" s="24">
        <v>859.44</v>
      </c>
      <c r="AT180" s="24"/>
      <c r="AU180" s="24"/>
      <c r="AV180" s="24"/>
    </row>
    <row r="181" spans="2:48" ht="12.75">
      <c r="B181" s="58">
        <v>14</v>
      </c>
      <c r="C181" s="37"/>
      <c r="D181" s="33"/>
      <c r="E181" s="88"/>
      <c r="F181" s="86"/>
      <c r="G181" s="8" t="s">
        <v>10</v>
      </c>
      <c r="H181" s="42">
        <v>18016.42</v>
      </c>
      <c r="I181" s="20">
        <v>20422.7</v>
      </c>
      <c r="J181" s="42"/>
      <c r="K181" s="213"/>
      <c r="L181" s="213"/>
      <c r="M181" s="213"/>
      <c r="N181" s="210">
        <f t="shared" si="54"/>
        <v>1021.1350000000001</v>
      </c>
      <c r="O181" s="10">
        <f t="shared" si="55"/>
        <v>9033.44</v>
      </c>
      <c r="P181" s="103"/>
      <c r="Q181" s="48">
        <v>8174</v>
      </c>
      <c r="R181" s="24"/>
      <c r="S181" s="24"/>
      <c r="T181" s="24"/>
      <c r="U181" s="24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24"/>
      <c r="AO181" s="24"/>
      <c r="AP181" s="24"/>
      <c r="AQ181" s="24"/>
      <c r="AR181" s="24"/>
      <c r="AS181" s="24">
        <v>859.44</v>
      </c>
      <c r="AT181" s="24"/>
      <c r="AU181" s="24"/>
      <c r="AV181" s="24"/>
    </row>
    <row r="182" spans="2:48" ht="12.75">
      <c r="B182" s="58">
        <v>14</v>
      </c>
      <c r="C182" s="37"/>
      <c r="D182" s="33"/>
      <c r="E182" s="88"/>
      <c r="F182" s="86"/>
      <c r="G182" s="8" t="s">
        <v>11</v>
      </c>
      <c r="H182" s="42">
        <v>18016.42</v>
      </c>
      <c r="I182" s="20">
        <v>22099.97</v>
      </c>
      <c r="J182" s="42"/>
      <c r="K182" s="213"/>
      <c r="L182" s="213"/>
      <c r="M182" s="213"/>
      <c r="N182" s="210">
        <f t="shared" si="54"/>
        <v>1104.9985000000001</v>
      </c>
      <c r="O182" s="10">
        <f t="shared" si="55"/>
        <v>9912.44</v>
      </c>
      <c r="P182" s="101" t="s">
        <v>307</v>
      </c>
      <c r="Q182" s="24">
        <v>8174</v>
      </c>
      <c r="R182" s="24"/>
      <c r="S182" s="24"/>
      <c r="T182" s="24"/>
      <c r="U182" s="24">
        <v>251</v>
      </c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24"/>
      <c r="AO182" s="24"/>
      <c r="AP182" s="24"/>
      <c r="AQ182" s="24"/>
      <c r="AR182" s="24"/>
      <c r="AS182" s="24">
        <v>859.44</v>
      </c>
      <c r="AT182" s="24"/>
      <c r="AU182" s="24">
        <v>628</v>
      </c>
      <c r="AV182" s="24"/>
    </row>
    <row r="183" spans="2:48" ht="12.75">
      <c r="B183" s="58">
        <v>14</v>
      </c>
      <c r="C183" s="37"/>
      <c r="D183" s="33"/>
      <c r="E183" s="88"/>
      <c r="F183" s="86"/>
      <c r="G183" s="8" t="s">
        <v>12</v>
      </c>
      <c r="H183" s="42">
        <v>16291.48</v>
      </c>
      <c r="I183" s="20">
        <v>33893.03</v>
      </c>
      <c r="J183" s="42"/>
      <c r="K183" s="213"/>
      <c r="L183" s="213"/>
      <c r="M183" s="213"/>
      <c r="N183" s="210">
        <f t="shared" si="54"/>
        <v>1694.6515</v>
      </c>
      <c r="O183" s="10">
        <f t="shared" si="55"/>
        <v>9574.44</v>
      </c>
      <c r="P183" s="101" t="s">
        <v>307</v>
      </c>
      <c r="Q183" s="24">
        <v>8174</v>
      </c>
      <c r="R183" s="24"/>
      <c r="S183" s="24"/>
      <c r="T183" s="24"/>
      <c r="U183" s="24"/>
      <c r="V183" s="48"/>
      <c r="W183" s="48"/>
      <c r="X183" s="48"/>
      <c r="Y183" s="48"/>
      <c r="Z183" s="48"/>
      <c r="AA183" s="48"/>
      <c r="AB183" s="48"/>
      <c r="AC183" s="48"/>
      <c r="AD183" s="48">
        <v>541</v>
      </c>
      <c r="AE183" s="48"/>
      <c r="AF183" s="48"/>
      <c r="AG183" s="48"/>
      <c r="AH183" s="48"/>
      <c r="AI183" s="48"/>
      <c r="AJ183" s="48"/>
      <c r="AK183" s="48"/>
      <c r="AL183" s="48"/>
      <c r="AM183" s="48"/>
      <c r="AN183" s="24"/>
      <c r="AO183" s="24"/>
      <c r="AP183" s="24"/>
      <c r="AQ183" s="24"/>
      <c r="AR183" s="24"/>
      <c r="AS183" s="24">
        <v>859.44</v>
      </c>
      <c r="AT183" s="24"/>
      <c r="AU183" s="24"/>
      <c r="AV183" s="24"/>
    </row>
    <row r="184" spans="2:48" ht="12.75">
      <c r="B184" s="58">
        <v>14</v>
      </c>
      <c r="C184" s="37"/>
      <c r="D184" s="33"/>
      <c r="E184" s="88"/>
      <c r="F184" s="86"/>
      <c r="G184" s="8" t="s">
        <v>13</v>
      </c>
      <c r="H184" s="42">
        <v>18044.12</v>
      </c>
      <c r="I184" s="20">
        <v>10786.41</v>
      </c>
      <c r="J184" s="42"/>
      <c r="K184" s="213"/>
      <c r="L184" s="213"/>
      <c r="M184" s="213"/>
      <c r="N184" s="210">
        <f t="shared" si="54"/>
        <v>539.3205</v>
      </c>
      <c r="O184" s="10">
        <f t="shared" si="55"/>
        <v>9466.44</v>
      </c>
      <c r="P184" s="101" t="s">
        <v>378</v>
      </c>
      <c r="Q184" s="24">
        <v>8174</v>
      </c>
      <c r="R184" s="24"/>
      <c r="S184" s="24">
        <v>433</v>
      </c>
      <c r="T184" s="24"/>
      <c r="U184" s="24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24"/>
      <c r="AO184" s="24"/>
      <c r="AP184" s="24"/>
      <c r="AQ184" s="24"/>
      <c r="AR184" s="24"/>
      <c r="AS184" s="24">
        <v>859.44</v>
      </c>
      <c r="AT184" s="24"/>
      <c r="AU184" s="24"/>
      <c r="AV184" s="24"/>
    </row>
    <row r="185" spans="2:48" ht="13.5" thickBot="1">
      <c r="B185" s="150">
        <v>14</v>
      </c>
      <c r="C185" s="38"/>
      <c r="D185" s="35"/>
      <c r="E185" s="125"/>
      <c r="F185" s="87"/>
      <c r="G185" s="12" t="s">
        <v>14</v>
      </c>
      <c r="H185" s="42">
        <v>18044.12</v>
      </c>
      <c r="I185" s="21">
        <v>24486.7</v>
      </c>
      <c r="J185" s="42"/>
      <c r="K185" s="213"/>
      <c r="L185" s="213"/>
      <c r="M185" s="213"/>
      <c r="N185" s="210">
        <f t="shared" si="54"/>
        <v>1224.335</v>
      </c>
      <c r="O185" s="10">
        <f t="shared" si="55"/>
        <v>8820.44</v>
      </c>
      <c r="P185" s="104"/>
      <c r="Q185" s="25">
        <v>7499</v>
      </c>
      <c r="R185" s="25"/>
      <c r="S185" s="25"/>
      <c r="T185" s="25"/>
      <c r="U185" s="25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25"/>
      <c r="AO185" s="25"/>
      <c r="AP185" s="25"/>
      <c r="AQ185" s="25"/>
      <c r="AR185" s="25"/>
      <c r="AS185" s="25">
        <v>859.44</v>
      </c>
      <c r="AT185" s="25"/>
      <c r="AU185" s="25">
        <v>462</v>
      </c>
      <c r="AV185" s="128">
        <f>AV173+I173+J173-K173-L173-M173-N173-O173</f>
        <v>18556.94649999999</v>
      </c>
    </row>
    <row r="186" spans="2:48" ht="14.25" thickBot="1" thickTop="1">
      <c r="B186" s="148">
        <v>15</v>
      </c>
      <c r="C186" s="59" t="s">
        <v>18</v>
      </c>
      <c r="D186" s="60" t="s">
        <v>40</v>
      </c>
      <c r="E186" s="141" t="s">
        <v>50</v>
      </c>
      <c r="F186" s="84">
        <v>2468.2</v>
      </c>
      <c r="G186" s="50"/>
      <c r="H186" s="69">
        <v>177037.74000000002</v>
      </c>
      <c r="I186" s="69">
        <v>179513.94</v>
      </c>
      <c r="J186" s="69">
        <f>SUM(J187:J198)</f>
        <v>0</v>
      </c>
      <c r="K186" s="211">
        <f>SUM(K187:K198)</f>
        <v>0</v>
      </c>
      <c r="L186" s="211">
        <f>SUM(L187:L198)</f>
        <v>6214.98</v>
      </c>
      <c r="M186" s="211">
        <f>SUM(M187:M198)</f>
        <v>7979.09</v>
      </c>
      <c r="N186" s="215">
        <f>SUM(N187:N198)</f>
        <v>8975.697</v>
      </c>
      <c r="O186" s="16">
        <f>SUM(Q186:AU186)</f>
        <v>158333.33</v>
      </c>
      <c r="P186" s="99"/>
      <c r="Q186" s="11">
        <f>SUM(Q187:Q198)</f>
        <v>119797</v>
      </c>
      <c r="R186" s="11">
        <f>SUM(R187:R198)</f>
        <v>0</v>
      </c>
      <c r="S186" s="11">
        <f>SUM(S187:S198)</f>
        <v>4575</v>
      </c>
      <c r="T186" s="11">
        <f>SUM(T187:T198)</f>
        <v>0</v>
      </c>
      <c r="U186" s="11">
        <f>SUM(U187:U198)</f>
        <v>0</v>
      </c>
      <c r="V186" s="50">
        <f aca="true" t="shared" si="56" ref="V186:AM186">SUM(V187:V198)</f>
        <v>0</v>
      </c>
      <c r="W186" s="50">
        <f t="shared" si="56"/>
        <v>4480</v>
      </c>
      <c r="X186" s="50">
        <f t="shared" si="56"/>
        <v>0</v>
      </c>
      <c r="Y186" s="50">
        <f t="shared" si="56"/>
        <v>0</v>
      </c>
      <c r="Z186" s="50">
        <f>SUM(Z187:Z198)</f>
        <v>0</v>
      </c>
      <c r="AA186" s="50">
        <f>SUM(AA187:AA198)</f>
        <v>0</v>
      </c>
      <c r="AB186" s="50">
        <f t="shared" si="56"/>
        <v>0</v>
      </c>
      <c r="AC186" s="50">
        <f t="shared" si="56"/>
        <v>0</v>
      </c>
      <c r="AD186" s="50">
        <f t="shared" si="56"/>
        <v>7150</v>
      </c>
      <c r="AE186" s="50">
        <f t="shared" si="56"/>
        <v>0</v>
      </c>
      <c r="AF186" s="50">
        <f t="shared" si="56"/>
        <v>12040</v>
      </c>
      <c r="AG186" s="50">
        <f t="shared" si="56"/>
        <v>0</v>
      </c>
      <c r="AH186" s="50">
        <f t="shared" si="56"/>
        <v>0</v>
      </c>
      <c r="AI186" s="50">
        <f>SUM(AI187:AI198)</f>
        <v>0</v>
      </c>
      <c r="AJ186" s="50">
        <f>SUM(AJ187:AJ198)</f>
        <v>0</v>
      </c>
      <c r="AK186" s="50">
        <f>SUM(AK187:AK198)</f>
        <v>0</v>
      </c>
      <c r="AL186" s="50">
        <f>SUM(AL187:AL198)</f>
        <v>0</v>
      </c>
      <c r="AM186" s="50">
        <f t="shared" si="56"/>
        <v>0</v>
      </c>
      <c r="AN186" s="11">
        <f aca="true" t="shared" si="57" ref="AN186:AU186">SUM(AN187:AN198)</f>
        <v>0</v>
      </c>
      <c r="AO186" s="11">
        <f t="shared" si="57"/>
        <v>0</v>
      </c>
      <c r="AP186" s="11">
        <f t="shared" si="57"/>
        <v>0</v>
      </c>
      <c r="AQ186" s="11">
        <f>SUM(AQ187:AQ198)</f>
        <v>0</v>
      </c>
      <c r="AR186" s="11">
        <f>SUM(AR187:AR198)</f>
        <v>0</v>
      </c>
      <c r="AS186" s="11">
        <f t="shared" si="57"/>
        <v>8883.33</v>
      </c>
      <c r="AT186" s="11">
        <f t="shared" si="57"/>
        <v>0</v>
      </c>
      <c r="AU186" s="11">
        <f t="shared" si="57"/>
        <v>1408</v>
      </c>
      <c r="AV186" s="127">
        <v>-4611.89</v>
      </c>
    </row>
    <row r="187" spans="2:48" ht="13.5" thickTop="1">
      <c r="B187" s="149">
        <v>15</v>
      </c>
      <c r="C187" s="36" t="s">
        <v>70</v>
      </c>
      <c r="D187" s="31"/>
      <c r="E187" s="89"/>
      <c r="F187" s="85"/>
      <c r="G187" s="61" t="s">
        <v>3</v>
      </c>
      <c r="H187" s="41">
        <v>14363.78</v>
      </c>
      <c r="I187" s="19">
        <v>12066.38</v>
      </c>
      <c r="J187" s="41"/>
      <c r="K187" s="212"/>
      <c r="L187" s="212">
        <v>6214.98</v>
      </c>
      <c r="M187" s="212">
        <v>7979.09</v>
      </c>
      <c r="N187" s="210">
        <f aca="true" t="shared" si="58" ref="N187:N198">I187*0.05</f>
        <v>603.319</v>
      </c>
      <c r="O187" s="10">
        <f>SUM(Q187:AU187)</f>
        <v>15572.72</v>
      </c>
      <c r="P187" s="106" t="s">
        <v>223</v>
      </c>
      <c r="Q187" s="23">
        <v>10897</v>
      </c>
      <c r="R187" s="23"/>
      <c r="S187" s="23"/>
      <c r="T187" s="23"/>
      <c r="U187" s="23"/>
      <c r="V187" s="39"/>
      <c r="W187" s="39"/>
      <c r="X187" s="39"/>
      <c r="Y187" s="39"/>
      <c r="Z187" s="39"/>
      <c r="AA187" s="39"/>
      <c r="AB187" s="39"/>
      <c r="AC187" s="39"/>
      <c r="AD187" s="39">
        <f>2062+1631+267</f>
        <v>3960</v>
      </c>
      <c r="AE187" s="39"/>
      <c r="AF187" s="39"/>
      <c r="AG187" s="39"/>
      <c r="AH187" s="39"/>
      <c r="AI187" s="39"/>
      <c r="AJ187" s="39"/>
      <c r="AK187" s="39"/>
      <c r="AL187" s="39"/>
      <c r="AM187" s="39"/>
      <c r="AN187" s="23"/>
      <c r="AO187" s="23"/>
      <c r="AP187" s="23"/>
      <c r="AQ187" s="23"/>
      <c r="AR187" s="23"/>
      <c r="AS187" s="23">
        <v>715.72</v>
      </c>
      <c r="AT187" s="23"/>
      <c r="AU187" s="23"/>
      <c r="AV187" s="23"/>
    </row>
    <row r="188" spans="2:48" ht="12.75">
      <c r="B188" s="58">
        <v>15</v>
      </c>
      <c r="C188" s="37"/>
      <c r="D188" s="33"/>
      <c r="E188" s="90"/>
      <c r="F188" s="86"/>
      <c r="G188" s="62" t="s">
        <v>4</v>
      </c>
      <c r="H188" s="42">
        <v>14363.78</v>
      </c>
      <c r="I188" s="20">
        <v>13745.03</v>
      </c>
      <c r="J188" s="42"/>
      <c r="K188" s="213"/>
      <c r="L188" s="213"/>
      <c r="M188" s="213"/>
      <c r="N188" s="210">
        <f t="shared" si="58"/>
        <v>687.2515000000001</v>
      </c>
      <c r="O188" s="10">
        <f aca="true" t="shared" si="59" ref="O188:O198">SUM(Q188:AU188)</f>
        <v>12679.72</v>
      </c>
      <c r="P188" s="101" t="s">
        <v>200</v>
      </c>
      <c r="Q188" s="24">
        <v>10897</v>
      </c>
      <c r="R188" s="24"/>
      <c r="S188" s="45">
        <v>1067</v>
      </c>
      <c r="T188" s="24"/>
      <c r="U188" s="24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24"/>
      <c r="AO188" s="24"/>
      <c r="AP188" s="24"/>
      <c r="AQ188" s="24"/>
      <c r="AR188" s="24"/>
      <c r="AS188" s="24">
        <v>715.72</v>
      </c>
      <c r="AT188" s="23"/>
      <c r="AU188" s="24"/>
      <c r="AV188" s="24"/>
    </row>
    <row r="189" spans="2:48" ht="12.75">
      <c r="B189" s="58">
        <v>15</v>
      </c>
      <c r="C189" s="37"/>
      <c r="D189" s="33"/>
      <c r="E189" s="88"/>
      <c r="F189" s="86"/>
      <c r="G189" s="8" t="s">
        <v>5</v>
      </c>
      <c r="H189" s="42">
        <v>14363.78</v>
      </c>
      <c r="I189" s="20">
        <v>11623.26</v>
      </c>
      <c r="J189" s="42"/>
      <c r="K189" s="213"/>
      <c r="L189" s="213"/>
      <c r="M189" s="213"/>
      <c r="N189" s="210">
        <f t="shared" si="58"/>
        <v>581.163</v>
      </c>
      <c r="O189" s="10">
        <f t="shared" si="59"/>
        <v>22504.72</v>
      </c>
      <c r="P189" s="101" t="s">
        <v>222</v>
      </c>
      <c r="Q189" s="45">
        <v>9406</v>
      </c>
      <c r="R189" s="24"/>
      <c r="S189" s="45"/>
      <c r="T189" s="24"/>
      <c r="U189" s="24"/>
      <c r="V189" s="48"/>
      <c r="W189" s="48"/>
      <c r="X189" s="48"/>
      <c r="Y189" s="48"/>
      <c r="Z189" s="48"/>
      <c r="AA189" s="48"/>
      <c r="AB189" s="48"/>
      <c r="AC189" s="48"/>
      <c r="AD189" s="48">
        <f>133+210</f>
        <v>343</v>
      </c>
      <c r="AE189" s="48"/>
      <c r="AF189" s="48">
        <f>9029+3011</f>
        <v>12040</v>
      </c>
      <c r="AG189" s="48"/>
      <c r="AH189" s="48"/>
      <c r="AI189" s="48"/>
      <c r="AJ189" s="48"/>
      <c r="AK189" s="48"/>
      <c r="AL189" s="48"/>
      <c r="AM189" s="48"/>
      <c r="AN189" s="24"/>
      <c r="AO189" s="24"/>
      <c r="AP189" s="24"/>
      <c r="AQ189" s="24"/>
      <c r="AR189" s="24"/>
      <c r="AS189" s="24">
        <v>715.72</v>
      </c>
      <c r="AT189" s="23"/>
      <c r="AU189" s="23"/>
      <c r="AV189" s="24"/>
    </row>
    <row r="190" spans="2:48" ht="12.75">
      <c r="B190" s="58">
        <v>15</v>
      </c>
      <c r="C190" s="37"/>
      <c r="D190" s="33"/>
      <c r="E190" s="88"/>
      <c r="F190" s="86"/>
      <c r="G190" s="8" t="s">
        <v>6</v>
      </c>
      <c r="H190" s="42">
        <v>14364.95</v>
      </c>
      <c r="I190" s="20">
        <v>14306.53</v>
      </c>
      <c r="J190" s="42"/>
      <c r="K190" s="213"/>
      <c r="L190" s="213"/>
      <c r="M190" s="213"/>
      <c r="N190" s="210">
        <f t="shared" si="58"/>
        <v>715.3265000000001</v>
      </c>
      <c r="O190" s="10">
        <f t="shared" si="59"/>
        <v>12959.72</v>
      </c>
      <c r="P190" s="103" t="s">
        <v>221</v>
      </c>
      <c r="Q190" s="48">
        <v>10072</v>
      </c>
      <c r="R190" s="24"/>
      <c r="S190" s="24"/>
      <c r="T190" s="24"/>
      <c r="U190" s="24"/>
      <c r="V190" s="48"/>
      <c r="W190" s="48"/>
      <c r="X190" s="48"/>
      <c r="Y190" s="48"/>
      <c r="Z190" s="48"/>
      <c r="AA190" s="48"/>
      <c r="AB190" s="48"/>
      <c r="AC190" s="48"/>
      <c r="AD190" s="48">
        <v>1657</v>
      </c>
      <c r="AE190" s="48"/>
      <c r="AF190" s="48"/>
      <c r="AG190" s="48"/>
      <c r="AH190" s="48"/>
      <c r="AI190" s="48"/>
      <c r="AJ190" s="48"/>
      <c r="AK190" s="48"/>
      <c r="AL190" s="48"/>
      <c r="AM190" s="48"/>
      <c r="AN190" s="24"/>
      <c r="AO190" s="24"/>
      <c r="AP190" s="24"/>
      <c r="AQ190" s="24"/>
      <c r="AR190" s="24"/>
      <c r="AS190" s="24">
        <v>715.72</v>
      </c>
      <c r="AT190" s="24"/>
      <c r="AU190" s="24">
        <v>515</v>
      </c>
      <c r="AV190" s="24"/>
    </row>
    <row r="191" spans="2:48" ht="12.75">
      <c r="B191" s="58">
        <v>15</v>
      </c>
      <c r="C191" s="37"/>
      <c r="D191" s="33"/>
      <c r="E191" s="88"/>
      <c r="F191" s="86"/>
      <c r="G191" s="8" t="s">
        <v>7</v>
      </c>
      <c r="H191" s="42">
        <v>14364.95</v>
      </c>
      <c r="I191" s="20">
        <v>14915.97</v>
      </c>
      <c r="J191" s="42"/>
      <c r="K191" s="213"/>
      <c r="L191" s="213"/>
      <c r="M191" s="213"/>
      <c r="N191" s="210">
        <f t="shared" si="58"/>
        <v>745.7985</v>
      </c>
      <c r="O191" s="10">
        <f t="shared" si="59"/>
        <v>14227.72</v>
      </c>
      <c r="P191" s="101" t="s">
        <v>182</v>
      </c>
      <c r="Q191" s="48">
        <v>9952</v>
      </c>
      <c r="R191" s="24"/>
      <c r="S191" s="24">
        <f>322+998</f>
        <v>1320</v>
      </c>
      <c r="T191" s="24"/>
      <c r="U191" s="24"/>
      <c r="V191" s="48"/>
      <c r="W191" s="48">
        <v>2240</v>
      </c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24"/>
      <c r="AO191" s="24"/>
      <c r="AP191" s="24"/>
      <c r="AQ191" s="24"/>
      <c r="AR191" s="24"/>
      <c r="AS191" s="24">
        <v>715.72</v>
      </c>
      <c r="AT191" s="23"/>
      <c r="AU191" s="24"/>
      <c r="AV191" s="24"/>
    </row>
    <row r="192" spans="2:48" ht="12.75">
      <c r="B192" s="58">
        <v>15</v>
      </c>
      <c r="C192" s="37"/>
      <c r="D192" s="33"/>
      <c r="E192" s="88"/>
      <c r="F192" s="86"/>
      <c r="G192" s="8" t="s">
        <v>8</v>
      </c>
      <c r="H192" s="42">
        <v>14359.13</v>
      </c>
      <c r="I192" s="20">
        <v>9978.54</v>
      </c>
      <c r="J192" s="42"/>
      <c r="K192" s="213"/>
      <c r="L192" s="213"/>
      <c r="M192" s="213"/>
      <c r="N192" s="210">
        <f t="shared" si="58"/>
        <v>498.9270000000001</v>
      </c>
      <c r="O192" s="10">
        <f t="shared" si="59"/>
        <v>13096.72</v>
      </c>
      <c r="P192" s="101" t="s">
        <v>182</v>
      </c>
      <c r="Q192" s="48">
        <v>9952</v>
      </c>
      <c r="R192" s="24"/>
      <c r="S192" s="24"/>
      <c r="T192" s="24"/>
      <c r="U192" s="24"/>
      <c r="V192" s="48"/>
      <c r="W192" s="48">
        <v>2240</v>
      </c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24"/>
      <c r="AO192" s="24"/>
      <c r="AP192" s="24"/>
      <c r="AQ192" s="24"/>
      <c r="AR192" s="24"/>
      <c r="AS192" s="24">
        <v>715.72</v>
      </c>
      <c r="AT192" s="24"/>
      <c r="AU192" s="24">
        <v>189</v>
      </c>
      <c r="AV192" s="24"/>
    </row>
    <row r="193" spans="2:48" ht="12.75">
      <c r="B193" s="58">
        <v>15</v>
      </c>
      <c r="C193" s="37"/>
      <c r="D193" s="33"/>
      <c r="E193" s="88"/>
      <c r="F193" s="86"/>
      <c r="G193" s="8" t="s">
        <v>9</v>
      </c>
      <c r="H193" s="42">
        <v>16061.5</v>
      </c>
      <c r="I193" s="20">
        <v>17427.06</v>
      </c>
      <c r="J193" s="42"/>
      <c r="K193" s="213"/>
      <c r="L193" s="213"/>
      <c r="M193" s="213"/>
      <c r="N193" s="210">
        <f t="shared" si="58"/>
        <v>871.3530000000001</v>
      </c>
      <c r="O193" s="10">
        <f t="shared" si="59"/>
        <v>10716.83</v>
      </c>
      <c r="P193" s="181"/>
      <c r="Q193" s="48">
        <v>9952</v>
      </c>
      <c r="R193" s="24"/>
      <c r="S193" s="24"/>
      <c r="T193" s="24"/>
      <c r="U193" s="24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24"/>
      <c r="AO193" s="24"/>
      <c r="AP193" s="24"/>
      <c r="AQ193" s="24"/>
      <c r="AR193" s="24"/>
      <c r="AS193" s="24">
        <v>764.83</v>
      </c>
      <c r="AT193" s="24"/>
      <c r="AU193" s="24"/>
      <c r="AV193" s="24"/>
    </row>
    <row r="194" spans="2:48" ht="12.75">
      <c r="B194" s="58">
        <v>15</v>
      </c>
      <c r="C194" s="37"/>
      <c r="D194" s="33"/>
      <c r="E194" s="88"/>
      <c r="F194" s="86"/>
      <c r="G194" s="8" t="s">
        <v>10</v>
      </c>
      <c r="H194" s="42">
        <v>16061.5</v>
      </c>
      <c r="I194" s="20">
        <v>13738.03</v>
      </c>
      <c r="J194" s="42"/>
      <c r="K194" s="213"/>
      <c r="L194" s="213"/>
      <c r="M194" s="213"/>
      <c r="N194" s="210">
        <f t="shared" si="58"/>
        <v>686.9015</v>
      </c>
      <c r="O194" s="10">
        <f t="shared" si="59"/>
        <v>10716.83</v>
      </c>
      <c r="P194" s="181"/>
      <c r="Q194" s="48">
        <v>9952</v>
      </c>
      <c r="R194" s="24"/>
      <c r="S194" s="24"/>
      <c r="T194" s="24"/>
      <c r="U194" s="24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24"/>
      <c r="AO194" s="24"/>
      <c r="AP194" s="24"/>
      <c r="AQ194" s="24"/>
      <c r="AR194" s="24"/>
      <c r="AS194" s="24">
        <v>764.83</v>
      </c>
      <c r="AT194" s="24"/>
      <c r="AU194" s="24"/>
      <c r="AV194" s="24"/>
    </row>
    <row r="195" spans="2:48" ht="12.75">
      <c r="B195" s="58">
        <v>15</v>
      </c>
      <c r="C195" s="37"/>
      <c r="D195" s="33"/>
      <c r="E195" s="88"/>
      <c r="F195" s="86"/>
      <c r="G195" s="8" t="s">
        <v>11</v>
      </c>
      <c r="H195" s="42">
        <v>16061.5</v>
      </c>
      <c r="I195" s="20">
        <v>20573.83</v>
      </c>
      <c r="J195" s="42"/>
      <c r="K195" s="213"/>
      <c r="L195" s="213"/>
      <c r="M195" s="213"/>
      <c r="N195" s="210">
        <f t="shared" si="58"/>
        <v>1028.6915000000001</v>
      </c>
      <c r="O195" s="10">
        <f t="shared" si="59"/>
        <v>14090.83</v>
      </c>
      <c r="P195" s="101" t="s">
        <v>311</v>
      </c>
      <c r="Q195" s="24">
        <v>9952</v>
      </c>
      <c r="R195" s="24"/>
      <c r="S195" s="24">
        <v>2188</v>
      </c>
      <c r="T195" s="24"/>
      <c r="U195" s="24"/>
      <c r="V195" s="48"/>
      <c r="W195" s="48"/>
      <c r="X195" s="48"/>
      <c r="Y195" s="48"/>
      <c r="Z195" s="48"/>
      <c r="AA195" s="48"/>
      <c r="AB195" s="48"/>
      <c r="AC195" s="48"/>
      <c r="AD195" s="48">
        <v>671</v>
      </c>
      <c r="AE195" s="48"/>
      <c r="AF195" s="48"/>
      <c r="AG195" s="48"/>
      <c r="AH195" s="48"/>
      <c r="AI195" s="48"/>
      <c r="AJ195" s="48"/>
      <c r="AK195" s="48"/>
      <c r="AL195" s="48"/>
      <c r="AM195" s="48"/>
      <c r="AN195" s="24"/>
      <c r="AO195" s="24"/>
      <c r="AP195" s="24"/>
      <c r="AQ195" s="24"/>
      <c r="AR195" s="24"/>
      <c r="AS195" s="24">
        <v>764.83</v>
      </c>
      <c r="AT195" s="24"/>
      <c r="AU195" s="24">
        <v>515</v>
      </c>
      <c r="AV195" s="24"/>
    </row>
    <row r="196" spans="2:48" ht="12.75">
      <c r="B196" s="58">
        <v>15</v>
      </c>
      <c r="C196" s="37"/>
      <c r="D196" s="33"/>
      <c r="E196" s="88"/>
      <c r="F196" s="86"/>
      <c r="G196" s="8" t="s">
        <v>12</v>
      </c>
      <c r="H196" s="42">
        <v>16086.17</v>
      </c>
      <c r="I196" s="20">
        <v>21511.12</v>
      </c>
      <c r="J196" s="42"/>
      <c r="K196" s="213"/>
      <c r="L196" s="213"/>
      <c r="M196" s="213"/>
      <c r="N196" s="210">
        <f t="shared" si="58"/>
        <v>1075.556</v>
      </c>
      <c r="O196" s="10">
        <f t="shared" si="59"/>
        <v>11235.83</v>
      </c>
      <c r="P196" s="101" t="s">
        <v>307</v>
      </c>
      <c r="Q196" s="24">
        <v>9952</v>
      </c>
      <c r="R196" s="24"/>
      <c r="S196" s="24"/>
      <c r="T196" s="24"/>
      <c r="U196" s="24"/>
      <c r="V196" s="48"/>
      <c r="W196" s="48"/>
      <c r="X196" s="48"/>
      <c r="Y196" s="48"/>
      <c r="Z196" s="48"/>
      <c r="AA196" s="48"/>
      <c r="AB196" s="48"/>
      <c r="AC196" s="48"/>
      <c r="AD196" s="48">
        <v>519</v>
      </c>
      <c r="AE196" s="48"/>
      <c r="AF196" s="48"/>
      <c r="AG196" s="48"/>
      <c r="AH196" s="48"/>
      <c r="AI196" s="48"/>
      <c r="AJ196" s="48"/>
      <c r="AK196" s="48"/>
      <c r="AL196" s="48"/>
      <c r="AM196" s="48"/>
      <c r="AN196" s="24"/>
      <c r="AO196" s="24"/>
      <c r="AP196" s="24"/>
      <c r="AQ196" s="24"/>
      <c r="AR196" s="24"/>
      <c r="AS196" s="24">
        <v>764.83</v>
      </c>
      <c r="AT196" s="24"/>
      <c r="AU196" s="24"/>
      <c r="AV196" s="24"/>
    </row>
    <row r="197" spans="2:48" ht="12.75">
      <c r="B197" s="58">
        <v>15</v>
      </c>
      <c r="C197" s="37"/>
      <c r="D197" s="33"/>
      <c r="E197" s="88"/>
      <c r="F197" s="86"/>
      <c r="G197" s="8" t="s">
        <v>13</v>
      </c>
      <c r="H197" s="42">
        <v>13293.35</v>
      </c>
      <c r="I197" s="20">
        <v>9544.64</v>
      </c>
      <c r="J197" s="42"/>
      <c r="K197" s="213"/>
      <c r="L197" s="213"/>
      <c r="M197" s="213"/>
      <c r="N197" s="210">
        <f t="shared" si="58"/>
        <v>477.23199999999997</v>
      </c>
      <c r="O197" s="10">
        <f t="shared" si="59"/>
        <v>10716.83</v>
      </c>
      <c r="P197" s="181"/>
      <c r="Q197" s="24">
        <v>9952</v>
      </c>
      <c r="R197" s="24"/>
      <c r="S197" s="24"/>
      <c r="T197" s="24"/>
      <c r="U197" s="24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24"/>
      <c r="AO197" s="24"/>
      <c r="AP197" s="24"/>
      <c r="AQ197" s="24"/>
      <c r="AR197" s="24"/>
      <c r="AS197" s="24">
        <v>764.83</v>
      </c>
      <c r="AT197" s="24"/>
      <c r="AU197" s="24"/>
      <c r="AV197" s="24"/>
    </row>
    <row r="198" spans="2:48" ht="13.5" thickBot="1">
      <c r="B198" s="150">
        <v>15</v>
      </c>
      <c r="C198" s="38"/>
      <c r="D198" s="35"/>
      <c r="E198" s="144"/>
      <c r="F198" s="87"/>
      <c r="G198" s="12" t="s">
        <v>14</v>
      </c>
      <c r="H198" s="43">
        <v>13293.35</v>
      </c>
      <c r="I198" s="21">
        <v>20083.55</v>
      </c>
      <c r="J198" s="43"/>
      <c r="K198" s="214"/>
      <c r="L198" s="214"/>
      <c r="M198" s="214"/>
      <c r="N198" s="210">
        <f t="shared" si="58"/>
        <v>1004.1775</v>
      </c>
      <c r="O198" s="10">
        <f t="shared" si="59"/>
        <v>9814.86</v>
      </c>
      <c r="P198" s="191"/>
      <c r="Q198" s="25">
        <v>8861</v>
      </c>
      <c r="R198" s="25"/>
      <c r="S198" s="25"/>
      <c r="T198" s="25"/>
      <c r="U198" s="25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25"/>
      <c r="AO198" s="25"/>
      <c r="AP198" s="25"/>
      <c r="AQ198" s="25"/>
      <c r="AR198" s="25"/>
      <c r="AS198" s="25">
        <v>764.86</v>
      </c>
      <c r="AT198" s="25"/>
      <c r="AU198" s="25">
        <v>189</v>
      </c>
      <c r="AV198" s="128">
        <f>AV186+I186+J186-K186-L186-M186-N186-O186</f>
        <v>-6601.046999999991</v>
      </c>
    </row>
    <row r="199" spans="2:48" ht="14.25" thickBot="1" thickTop="1">
      <c r="B199" s="148">
        <v>16</v>
      </c>
      <c r="C199" s="59" t="s">
        <v>17</v>
      </c>
      <c r="D199" s="60">
        <v>66</v>
      </c>
      <c r="E199" s="145" t="s">
        <v>48</v>
      </c>
      <c r="F199" s="84">
        <v>1663.6</v>
      </c>
      <c r="G199" s="50"/>
      <c r="H199" s="69">
        <v>107119.8</v>
      </c>
      <c r="I199" s="69">
        <v>98134.36</v>
      </c>
      <c r="J199" s="69">
        <f>SUM(J200:J211)</f>
        <v>0</v>
      </c>
      <c r="K199" s="211">
        <f>SUM(K200:K211)</f>
        <v>0</v>
      </c>
      <c r="L199" s="211">
        <f>SUM(L200:L211)</f>
        <v>5460.95</v>
      </c>
      <c r="M199" s="211">
        <f>SUM(M200:M211)</f>
        <v>4512.67</v>
      </c>
      <c r="N199" s="215">
        <f>SUM(N200:N211)</f>
        <v>4906.718000000001</v>
      </c>
      <c r="O199" s="16">
        <f>SUM(Q199:AU199)</f>
        <v>82795.92</v>
      </c>
      <c r="P199" s="99"/>
      <c r="Q199" s="11">
        <f>SUM(Q200:Q211)</f>
        <v>72850</v>
      </c>
      <c r="R199" s="11">
        <f>SUM(R200:R211)</f>
        <v>0</v>
      </c>
      <c r="S199" s="11">
        <f>SUM(S200:S211)</f>
        <v>0</v>
      </c>
      <c r="T199" s="11">
        <f>SUM(T200:T211)</f>
        <v>0</v>
      </c>
      <c r="U199" s="11">
        <f>SUM(U200:U211)</f>
        <v>0</v>
      </c>
      <c r="V199" s="50">
        <f aca="true" t="shared" si="60" ref="V199:AM199">SUM(V200:V211)</f>
        <v>0</v>
      </c>
      <c r="W199" s="50">
        <f t="shared" si="60"/>
        <v>861</v>
      </c>
      <c r="X199" s="50">
        <f t="shared" si="60"/>
        <v>130</v>
      </c>
      <c r="Y199" s="50">
        <f t="shared" si="60"/>
        <v>0</v>
      </c>
      <c r="Z199" s="50">
        <f>SUM(Z200:Z211)</f>
        <v>0</v>
      </c>
      <c r="AA199" s="50">
        <f>SUM(AA200:AA211)</f>
        <v>0</v>
      </c>
      <c r="AB199" s="50">
        <f t="shared" si="60"/>
        <v>0</v>
      </c>
      <c r="AC199" s="50">
        <f t="shared" si="60"/>
        <v>0</v>
      </c>
      <c r="AD199" s="50">
        <f t="shared" si="60"/>
        <v>77</v>
      </c>
      <c r="AE199" s="50">
        <f t="shared" si="60"/>
        <v>0</v>
      </c>
      <c r="AF199" s="50">
        <f t="shared" si="60"/>
        <v>0</v>
      </c>
      <c r="AG199" s="50">
        <f t="shared" si="60"/>
        <v>118</v>
      </c>
      <c r="AH199" s="50">
        <f t="shared" si="60"/>
        <v>0</v>
      </c>
      <c r="AI199" s="50">
        <f>SUM(AI200:AI211)</f>
        <v>0</v>
      </c>
      <c r="AJ199" s="50">
        <f>SUM(AJ200:AJ211)</f>
        <v>0</v>
      </c>
      <c r="AK199" s="50">
        <f>SUM(AK200:AK211)</f>
        <v>0</v>
      </c>
      <c r="AL199" s="50">
        <f>SUM(AL200:AL211)</f>
        <v>0</v>
      </c>
      <c r="AM199" s="50">
        <f t="shared" si="60"/>
        <v>0</v>
      </c>
      <c r="AN199" s="11">
        <f aca="true" t="shared" si="61" ref="AN199:AU199">SUM(AN200:AN211)</f>
        <v>0</v>
      </c>
      <c r="AO199" s="11">
        <f t="shared" si="61"/>
        <v>0</v>
      </c>
      <c r="AP199" s="11">
        <f t="shared" si="61"/>
        <v>0</v>
      </c>
      <c r="AQ199" s="11">
        <f>SUM(AQ200:AQ211)</f>
        <v>0</v>
      </c>
      <c r="AR199" s="11">
        <f>SUM(AR200:AR211)</f>
        <v>0</v>
      </c>
      <c r="AS199" s="11">
        <f t="shared" si="61"/>
        <v>5989.920000000001</v>
      </c>
      <c r="AT199" s="11">
        <f t="shared" si="61"/>
        <v>0</v>
      </c>
      <c r="AU199" s="11">
        <f t="shared" si="61"/>
        <v>2770</v>
      </c>
      <c r="AV199" s="127">
        <v>-15610.37</v>
      </c>
    </row>
    <row r="200" spans="2:48" ht="13.5" thickTop="1">
      <c r="B200" s="149">
        <v>16</v>
      </c>
      <c r="C200" s="36" t="s">
        <v>70</v>
      </c>
      <c r="D200" s="31"/>
      <c r="E200" s="89"/>
      <c r="F200" s="85"/>
      <c r="G200" s="61" t="s">
        <v>3</v>
      </c>
      <c r="H200" s="41">
        <v>7737.05</v>
      </c>
      <c r="I200" s="19">
        <v>6453.51</v>
      </c>
      <c r="J200" s="41"/>
      <c r="K200" s="212"/>
      <c r="L200" s="212">
        <v>5460.95</v>
      </c>
      <c r="M200" s="212">
        <v>4512.67</v>
      </c>
      <c r="N200" s="210">
        <f aca="true" t="shared" si="62" ref="N200:N211">I200*0.05</f>
        <v>322.67550000000006</v>
      </c>
      <c r="O200" s="10">
        <f>SUM(Q200:AU200)</f>
        <v>9577.52</v>
      </c>
      <c r="P200" s="107"/>
      <c r="Q200" s="39">
        <v>9095</v>
      </c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>
        <v>482.52</v>
      </c>
      <c r="AT200" s="39"/>
      <c r="AU200" s="39"/>
      <c r="AV200" s="23"/>
    </row>
    <row r="201" spans="2:48" ht="12.75">
      <c r="B201" s="58">
        <v>16</v>
      </c>
      <c r="C201" s="37"/>
      <c r="D201" s="33"/>
      <c r="E201" s="90"/>
      <c r="F201" s="86"/>
      <c r="G201" s="62" t="s">
        <v>4</v>
      </c>
      <c r="H201" s="42">
        <v>7737.05</v>
      </c>
      <c r="I201" s="20">
        <v>6134.92</v>
      </c>
      <c r="J201" s="42"/>
      <c r="K201" s="213"/>
      <c r="L201" s="213"/>
      <c r="M201" s="213"/>
      <c r="N201" s="210">
        <f t="shared" si="62"/>
        <v>306.74600000000004</v>
      </c>
      <c r="O201" s="10">
        <f aca="true" t="shared" si="63" ref="O201:O211">SUM(Q201:AU201)</f>
        <v>9639.52</v>
      </c>
      <c r="P201" s="98" t="s">
        <v>384</v>
      </c>
      <c r="Q201" s="48">
        <v>9095</v>
      </c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>
        <v>62</v>
      </c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>
        <v>482.52</v>
      </c>
      <c r="AT201" s="39"/>
      <c r="AU201" s="48"/>
      <c r="AV201" s="24"/>
    </row>
    <row r="202" spans="2:48" ht="12.75">
      <c r="B202" s="58">
        <v>16</v>
      </c>
      <c r="C202" s="37"/>
      <c r="D202" s="33"/>
      <c r="E202" s="88"/>
      <c r="F202" s="86"/>
      <c r="G202" s="8" t="s">
        <v>5</v>
      </c>
      <c r="H202" s="42">
        <v>7737.05</v>
      </c>
      <c r="I202" s="20">
        <v>6734.9</v>
      </c>
      <c r="J202" s="42"/>
      <c r="K202" s="213"/>
      <c r="L202" s="213"/>
      <c r="M202" s="213"/>
      <c r="N202" s="210">
        <f t="shared" si="62"/>
        <v>336.745</v>
      </c>
      <c r="O202" s="10">
        <f t="shared" si="63"/>
        <v>9695.52</v>
      </c>
      <c r="P202" s="98"/>
      <c r="Q202" s="48">
        <v>9095</v>
      </c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>
        <v>118</v>
      </c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>
        <v>482.52</v>
      </c>
      <c r="AT202" s="39"/>
      <c r="AU202" s="39"/>
      <c r="AV202" s="24"/>
    </row>
    <row r="203" spans="2:48" ht="12.75">
      <c r="B203" s="58">
        <v>16</v>
      </c>
      <c r="C203" s="37"/>
      <c r="D203" s="33"/>
      <c r="E203" s="88"/>
      <c r="F203" s="86"/>
      <c r="G203" s="8" t="s">
        <v>6</v>
      </c>
      <c r="H203" s="42">
        <v>7737.05</v>
      </c>
      <c r="I203" s="20">
        <v>6791.01</v>
      </c>
      <c r="J203" s="42"/>
      <c r="K203" s="213"/>
      <c r="L203" s="213"/>
      <c r="M203" s="213"/>
      <c r="N203" s="210">
        <f t="shared" si="62"/>
        <v>339.55050000000006</v>
      </c>
      <c r="O203" s="10">
        <f t="shared" si="63"/>
        <v>7926.52</v>
      </c>
      <c r="P203" s="94" t="s">
        <v>208</v>
      </c>
      <c r="Q203" s="48">
        <v>6801</v>
      </c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>
        <v>15</v>
      </c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>
        <v>482.52</v>
      </c>
      <c r="AT203" s="48"/>
      <c r="AU203" s="48">
        <v>628</v>
      </c>
      <c r="AV203" s="24"/>
    </row>
    <row r="204" spans="2:48" ht="12.75">
      <c r="B204" s="58">
        <v>16</v>
      </c>
      <c r="C204" s="37"/>
      <c r="D204" s="33"/>
      <c r="E204" s="88"/>
      <c r="F204" s="86"/>
      <c r="G204" s="8" t="s">
        <v>7</v>
      </c>
      <c r="H204" s="42">
        <v>7737.05</v>
      </c>
      <c r="I204" s="20">
        <v>9000.41</v>
      </c>
      <c r="J204" s="42"/>
      <c r="K204" s="213"/>
      <c r="L204" s="213"/>
      <c r="M204" s="213"/>
      <c r="N204" s="210">
        <f t="shared" si="62"/>
        <v>450.0205</v>
      </c>
      <c r="O204" s="10">
        <f t="shared" si="63"/>
        <v>6270.52</v>
      </c>
      <c r="P204" s="98"/>
      <c r="Q204" s="48">
        <v>4927</v>
      </c>
      <c r="R204" s="48"/>
      <c r="S204" s="48"/>
      <c r="T204" s="48"/>
      <c r="U204" s="48"/>
      <c r="V204" s="48"/>
      <c r="W204" s="48">
        <v>861</v>
      </c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>
        <v>482.52</v>
      </c>
      <c r="AT204" s="39"/>
      <c r="AU204" s="48"/>
      <c r="AV204" s="24"/>
    </row>
    <row r="205" spans="2:48" ht="12.75">
      <c r="B205" s="58">
        <v>16</v>
      </c>
      <c r="C205" s="37"/>
      <c r="D205" s="33"/>
      <c r="E205" s="88"/>
      <c r="F205" s="86"/>
      <c r="G205" s="8" t="s">
        <v>8</v>
      </c>
      <c r="H205" s="42">
        <v>7737.05</v>
      </c>
      <c r="I205" s="20">
        <v>5787.05</v>
      </c>
      <c r="J205" s="42"/>
      <c r="K205" s="213"/>
      <c r="L205" s="213"/>
      <c r="M205" s="213"/>
      <c r="N205" s="210">
        <f t="shared" si="62"/>
        <v>289.3525</v>
      </c>
      <c r="O205" s="10">
        <f t="shared" si="63"/>
        <v>6166.52</v>
      </c>
      <c r="P205" s="98"/>
      <c r="Q205" s="48">
        <v>4927</v>
      </c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>
        <v>482.52</v>
      </c>
      <c r="AT205" s="48"/>
      <c r="AU205" s="48">
        <v>757</v>
      </c>
      <c r="AV205" s="24"/>
    </row>
    <row r="206" spans="2:48" ht="12.75">
      <c r="B206" s="58">
        <v>16</v>
      </c>
      <c r="C206" s="37"/>
      <c r="D206" s="33"/>
      <c r="E206" s="88"/>
      <c r="F206" s="86"/>
      <c r="G206" s="8" t="s">
        <v>9</v>
      </c>
      <c r="H206" s="42">
        <v>8652.07</v>
      </c>
      <c r="I206" s="20">
        <v>7246.93</v>
      </c>
      <c r="J206" s="42"/>
      <c r="K206" s="213"/>
      <c r="L206" s="213"/>
      <c r="M206" s="213"/>
      <c r="N206" s="210">
        <f t="shared" si="62"/>
        <v>362.34650000000005</v>
      </c>
      <c r="O206" s="10">
        <f t="shared" si="63"/>
        <v>5442.8</v>
      </c>
      <c r="P206" s="98"/>
      <c r="Q206" s="48">
        <v>4927</v>
      </c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>
        <v>515.8</v>
      </c>
      <c r="AT206" s="48"/>
      <c r="AU206" s="48"/>
      <c r="AV206" s="24"/>
    </row>
    <row r="207" spans="2:48" ht="12.75">
      <c r="B207" s="58">
        <v>16</v>
      </c>
      <c r="C207" s="37"/>
      <c r="D207" s="33"/>
      <c r="E207" s="88"/>
      <c r="F207" s="86"/>
      <c r="G207" s="8" t="s">
        <v>10</v>
      </c>
      <c r="H207" s="42">
        <v>8652.07</v>
      </c>
      <c r="I207" s="20">
        <v>8914.08</v>
      </c>
      <c r="J207" s="42"/>
      <c r="K207" s="213"/>
      <c r="L207" s="213"/>
      <c r="M207" s="213"/>
      <c r="N207" s="210">
        <f t="shared" si="62"/>
        <v>445.704</v>
      </c>
      <c r="O207" s="10">
        <f t="shared" si="63"/>
        <v>5442.8</v>
      </c>
      <c r="P207" s="98"/>
      <c r="Q207" s="48">
        <v>4927</v>
      </c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>
        <v>515.8</v>
      </c>
      <c r="AT207" s="48"/>
      <c r="AU207" s="48"/>
      <c r="AV207" s="24"/>
    </row>
    <row r="208" spans="2:48" ht="12.75">
      <c r="B208" s="58">
        <v>16</v>
      </c>
      <c r="C208" s="37"/>
      <c r="D208" s="33"/>
      <c r="E208" s="88"/>
      <c r="F208" s="86"/>
      <c r="G208" s="8" t="s">
        <v>11</v>
      </c>
      <c r="H208" s="42">
        <v>8652.07</v>
      </c>
      <c r="I208" s="20">
        <v>8760.97</v>
      </c>
      <c r="J208" s="42"/>
      <c r="K208" s="213"/>
      <c r="L208" s="213"/>
      <c r="M208" s="213"/>
      <c r="N208" s="210">
        <f t="shared" si="62"/>
        <v>438.0485</v>
      </c>
      <c r="O208" s="10">
        <f t="shared" si="63"/>
        <v>6070.8</v>
      </c>
      <c r="P208" s="98"/>
      <c r="Q208" s="48">
        <v>4927</v>
      </c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>
        <v>515.8</v>
      </c>
      <c r="AT208" s="48"/>
      <c r="AU208" s="48">
        <v>628</v>
      </c>
      <c r="AV208" s="24"/>
    </row>
    <row r="209" spans="2:48" ht="12.75">
      <c r="B209" s="58">
        <v>16</v>
      </c>
      <c r="C209" s="37"/>
      <c r="D209" s="33"/>
      <c r="E209" s="88"/>
      <c r="F209" s="86"/>
      <c r="G209" s="8" t="s">
        <v>12</v>
      </c>
      <c r="H209" s="42">
        <v>13044.61</v>
      </c>
      <c r="I209" s="20">
        <v>13228.95</v>
      </c>
      <c r="J209" s="42"/>
      <c r="K209" s="213"/>
      <c r="L209" s="213"/>
      <c r="M209" s="213"/>
      <c r="N209" s="210">
        <f t="shared" si="62"/>
        <v>661.4475000000001</v>
      </c>
      <c r="O209" s="10">
        <f t="shared" si="63"/>
        <v>5442.8</v>
      </c>
      <c r="P209" s="98"/>
      <c r="Q209" s="48">
        <v>4927</v>
      </c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>
        <v>515.8</v>
      </c>
      <c r="AT209" s="48"/>
      <c r="AU209" s="48"/>
      <c r="AV209" s="24"/>
    </row>
    <row r="210" spans="2:48" ht="12.75">
      <c r="B210" s="58">
        <v>16</v>
      </c>
      <c r="C210" s="37"/>
      <c r="D210" s="33"/>
      <c r="E210" s="88"/>
      <c r="F210" s="86"/>
      <c r="G210" s="8" t="s">
        <v>13</v>
      </c>
      <c r="H210" s="42">
        <v>10848.34</v>
      </c>
      <c r="I210" s="20">
        <v>8744.47</v>
      </c>
      <c r="J210" s="42"/>
      <c r="K210" s="213"/>
      <c r="L210" s="213"/>
      <c r="M210" s="213"/>
      <c r="N210" s="210">
        <f t="shared" si="62"/>
        <v>437.2235</v>
      </c>
      <c r="O210" s="10">
        <f t="shared" si="63"/>
        <v>5442.8</v>
      </c>
      <c r="P210" s="98"/>
      <c r="Q210" s="48">
        <v>4927</v>
      </c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>
        <v>515.8</v>
      </c>
      <c r="AT210" s="48"/>
      <c r="AU210" s="48"/>
      <c r="AV210" s="24"/>
    </row>
    <row r="211" spans="2:48" ht="13.5" thickBot="1">
      <c r="B211" s="150">
        <v>16</v>
      </c>
      <c r="C211" s="38"/>
      <c r="D211" s="35"/>
      <c r="E211" s="144"/>
      <c r="F211" s="87"/>
      <c r="G211" s="12" t="s">
        <v>14</v>
      </c>
      <c r="H211" s="42">
        <v>10848.34</v>
      </c>
      <c r="I211" s="21">
        <v>10337.16</v>
      </c>
      <c r="J211" s="42"/>
      <c r="K211" s="213"/>
      <c r="L211" s="213"/>
      <c r="M211" s="213"/>
      <c r="N211" s="210">
        <f t="shared" si="62"/>
        <v>516.8580000000001</v>
      </c>
      <c r="O211" s="10">
        <f t="shared" si="63"/>
        <v>5677.8</v>
      </c>
      <c r="P211" s="108" t="s">
        <v>313</v>
      </c>
      <c r="Q211" s="49">
        <v>4275</v>
      </c>
      <c r="R211" s="49"/>
      <c r="S211" s="49"/>
      <c r="T211" s="49"/>
      <c r="U211" s="49"/>
      <c r="V211" s="49"/>
      <c r="W211" s="49"/>
      <c r="X211" s="49">
        <v>130</v>
      </c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>
        <v>515.8</v>
      </c>
      <c r="AT211" s="49"/>
      <c r="AU211" s="49">
        <v>757</v>
      </c>
      <c r="AV211" s="128">
        <f>AV199+I199+J199-K199-L199-M199-N199-O199</f>
        <v>-15152.267999999996</v>
      </c>
    </row>
    <row r="212" spans="2:48" ht="14.25" thickBot="1" thickTop="1">
      <c r="B212" s="148">
        <v>17</v>
      </c>
      <c r="C212" s="59" t="s">
        <v>41</v>
      </c>
      <c r="D212" s="60">
        <v>40</v>
      </c>
      <c r="E212" s="145" t="s">
        <v>48</v>
      </c>
      <c r="F212" s="84">
        <v>598.9</v>
      </c>
      <c r="G212" s="50"/>
      <c r="H212" s="69">
        <v>29442.000000000004</v>
      </c>
      <c r="I212" s="69">
        <v>26373.420000000002</v>
      </c>
      <c r="J212" s="69">
        <f>SUM(J213:J224)</f>
        <v>0</v>
      </c>
      <c r="K212" s="211">
        <f>SUM(K213:K224)</f>
        <v>0</v>
      </c>
      <c r="L212" s="211">
        <f>SUM(L213:L224)</f>
        <v>1527.61</v>
      </c>
      <c r="M212" s="211">
        <f>SUM(M213:M224)</f>
        <v>1250.67</v>
      </c>
      <c r="N212" s="215">
        <f>SUM(N213:N224)</f>
        <v>1318.671</v>
      </c>
      <c r="O212" s="16">
        <f>SUM(Q212:AU212)</f>
        <v>33121.04</v>
      </c>
      <c r="P212" s="99"/>
      <c r="Q212" s="11">
        <f>SUM(Q213:Q224)</f>
        <v>23174</v>
      </c>
      <c r="R212" s="11">
        <f>SUM(R213:R224)</f>
        <v>0</v>
      </c>
      <c r="S212" s="11">
        <f>SUM(S213:S224)</f>
        <v>0</v>
      </c>
      <c r="T212" s="11">
        <f>SUM(T213:T224)</f>
        <v>182</v>
      </c>
      <c r="U212" s="11">
        <f>SUM(U213:U224)</f>
        <v>0</v>
      </c>
      <c r="V212" s="50">
        <f aca="true" t="shared" si="64" ref="V212:AM212">SUM(V213:V224)</f>
        <v>0</v>
      </c>
      <c r="W212" s="50">
        <f t="shared" si="64"/>
        <v>0</v>
      </c>
      <c r="X212" s="50">
        <f t="shared" si="64"/>
        <v>0</v>
      </c>
      <c r="Y212" s="50">
        <f t="shared" si="64"/>
        <v>0</v>
      </c>
      <c r="Z212" s="50">
        <f>SUM(Z213:Z224)</f>
        <v>0</v>
      </c>
      <c r="AA212" s="50">
        <f>SUM(AA213:AA224)</f>
        <v>0</v>
      </c>
      <c r="AB212" s="50">
        <f t="shared" si="64"/>
        <v>0</v>
      </c>
      <c r="AC212" s="50">
        <f t="shared" si="64"/>
        <v>0</v>
      </c>
      <c r="AD212" s="50">
        <f t="shared" si="64"/>
        <v>0</v>
      </c>
      <c r="AE212" s="50">
        <f t="shared" si="64"/>
        <v>0</v>
      </c>
      <c r="AF212" s="50">
        <f t="shared" si="64"/>
        <v>6258</v>
      </c>
      <c r="AG212" s="50">
        <f t="shared" si="64"/>
        <v>0</v>
      </c>
      <c r="AH212" s="50">
        <f t="shared" si="64"/>
        <v>0</v>
      </c>
      <c r="AI212" s="50">
        <f>SUM(AI213:AI224)</f>
        <v>0</v>
      </c>
      <c r="AJ212" s="50">
        <f>SUM(AJ213:AJ224)</f>
        <v>1351</v>
      </c>
      <c r="AK212" s="50">
        <f>SUM(AK213:AK224)</f>
        <v>0</v>
      </c>
      <c r="AL212" s="50">
        <f>SUM(AL213:AL224)</f>
        <v>0</v>
      </c>
      <c r="AM212" s="50">
        <f t="shared" si="64"/>
        <v>0</v>
      </c>
      <c r="AN212" s="11">
        <f aca="true" t="shared" si="65" ref="AN212:AU212">SUM(AN213:AN224)</f>
        <v>0</v>
      </c>
      <c r="AO212" s="11">
        <f t="shared" si="65"/>
        <v>0</v>
      </c>
      <c r="AP212" s="11">
        <f t="shared" si="65"/>
        <v>0</v>
      </c>
      <c r="AQ212" s="11">
        <f>SUM(AQ213:AQ224)</f>
        <v>0</v>
      </c>
      <c r="AR212" s="11">
        <f>SUM(AR213:AR224)</f>
        <v>0</v>
      </c>
      <c r="AS212" s="11">
        <f t="shared" si="65"/>
        <v>2156.0400000000004</v>
      </c>
      <c r="AT212" s="11">
        <f t="shared" si="65"/>
        <v>0</v>
      </c>
      <c r="AU212" s="11">
        <f t="shared" si="65"/>
        <v>0</v>
      </c>
      <c r="AV212" s="127">
        <v>11850.31</v>
      </c>
    </row>
    <row r="213" spans="2:48" ht="13.5" thickTop="1">
      <c r="B213" s="149">
        <v>17</v>
      </c>
      <c r="C213" s="36" t="s">
        <v>71</v>
      </c>
      <c r="D213" s="31"/>
      <c r="E213" s="89"/>
      <c r="F213" s="85"/>
      <c r="G213" s="61" t="s">
        <v>3</v>
      </c>
      <c r="H213" s="41">
        <v>1820.66</v>
      </c>
      <c r="I213" s="19">
        <v>1687.94</v>
      </c>
      <c r="J213" s="41"/>
      <c r="K213" s="212"/>
      <c r="L213" s="212">
        <v>1527.61</v>
      </c>
      <c r="M213" s="212">
        <v>1250.67</v>
      </c>
      <c r="N213" s="210">
        <f aca="true" t="shared" si="66" ref="N213:N224">I213*0.05</f>
        <v>84.397</v>
      </c>
      <c r="O213" s="10">
        <f>SUM(Q213:AU213)</f>
        <v>2921.68</v>
      </c>
      <c r="P213" s="107"/>
      <c r="Q213" s="39">
        <v>2748</v>
      </c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>
        <v>173.68</v>
      </c>
      <c r="AT213" s="39"/>
      <c r="AU213" s="39"/>
      <c r="AV213" s="23"/>
    </row>
    <row r="214" spans="2:48" ht="12.75">
      <c r="B214" s="58">
        <v>17</v>
      </c>
      <c r="C214" s="37"/>
      <c r="D214" s="33"/>
      <c r="E214" s="90"/>
      <c r="F214" s="86"/>
      <c r="G214" s="62" t="s">
        <v>4</v>
      </c>
      <c r="H214" s="42">
        <v>1820.66</v>
      </c>
      <c r="I214" s="20">
        <v>1835.13</v>
      </c>
      <c r="J214" s="42"/>
      <c r="K214" s="213"/>
      <c r="L214" s="213"/>
      <c r="M214" s="213"/>
      <c r="N214" s="210">
        <f t="shared" si="66"/>
        <v>91.75650000000002</v>
      </c>
      <c r="O214" s="10">
        <f aca="true" t="shared" si="67" ref="O214:O224">SUM(Q214:AU214)</f>
        <v>4906.68</v>
      </c>
      <c r="P214" s="98"/>
      <c r="Q214" s="48">
        <v>2748</v>
      </c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>
        <v>1985</v>
      </c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>
        <v>173.68</v>
      </c>
      <c r="AT214" s="39"/>
      <c r="AU214" s="48"/>
      <c r="AV214" s="24"/>
    </row>
    <row r="215" spans="2:48" ht="12.75">
      <c r="B215" s="58">
        <v>17</v>
      </c>
      <c r="C215" s="37"/>
      <c r="D215" s="33"/>
      <c r="E215" s="88"/>
      <c r="F215" s="86"/>
      <c r="G215" s="8" t="s">
        <v>5</v>
      </c>
      <c r="H215" s="42">
        <v>1820.66</v>
      </c>
      <c r="I215" s="20">
        <v>1834.61</v>
      </c>
      <c r="J215" s="42"/>
      <c r="K215" s="213"/>
      <c r="L215" s="213"/>
      <c r="M215" s="213"/>
      <c r="N215" s="210">
        <f t="shared" si="66"/>
        <v>91.7305</v>
      </c>
      <c r="O215" s="10">
        <f t="shared" si="67"/>
        <v>7194.68</v>
      </c>
      <c r="P215" s="98" t="s">
        <v>169</v>
      </c>
      <c r="Q215" s="48">
        <v>2748</v>
      </c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>
        <v>4273</v>
      </c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>
        <v>173.68</v>
      </c>
      <c r="AT215" s="39"/>
      <c r="AU215" s="39"/>
      <c r="AV215" s="24"/>
    </row>
    <row r="216" spans="2:48" ht="12.75">
      <c r="B216" s="58">
        <v>17</v>
      </c>
      <c r="C216" s="37"/>
      <c r="D216" s="33"/>
      <c r="E216" s="88"/>
      <c r="F216" s="86"/>
      <c r="G216" s="8" t="s">
        <v>6</v>
      </c>
      <c r="H216" s="42">
        <v>1820.66</v>
      </c>
      <c r="I216" s="20">
        <v>1381.76</v>
      </c>
      <c r="J216" s="42"/>
      <c r="K216" s="213"/>
      <c r="L216" s="213"/>
      <c r="M216" s="213"/>
      <c r="N216" s="210">
        <f t="shared" si="66"/>
        <v>69.08800000000001</v>
      </c>
      <c r="O216" s="10">
        <f t="shared" si="67"/>
        <v>1835.68</v>
      </c>
      <c r="P216" s="94"/>
      <c r="Q216" s="48">
        <v>1662</v>
      </c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>
        <v>173.68</v>
      </c>
      <c r="AT216" s="48"/>
      <c r="AU216" s="48"/>
      <c r="AV216" s="24"/>
    </row>
    <row r="217" spans="2:48" ht="12.75">
      <c r="B217" s="58">
        <v>17</v>
      </c>
      <c r="C217" s="37"/>
      <c r="D217" s="33"/>
      <c r="E217" s="88"/>
      <c r="F217" s="86"/>
      <c r="G217" s="8" t="s">
        <v>7</v>
      </c>
      <c r="H217" s="42">
        <v>1820.66</v>
      </c>
      <c r="I217" s="20">
        <v>1194.81</v>
      </c>
      <c r="J217" s="42"/>
      <c r="K217" s="213"/>
      <c r="L217" s="213"/>
      <c r="M217" s="213"/>
      <c r="N217" s="210">
        <f t="shared" si="66"/>
        <v>59.7405</v>
      </c>
      <c r="O217" s="10">
        <f t="shared" si="67"/>
        <v>1835.68</v>
      </c>
      <c r="P217" s="98"/>
      <c r="Q217" s="48">
        <v>1662</v>
      </c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>
        <v>173.68</v>
      </c>
      <c r="AT217" s="39"/>
      <c r="AU217" s="48"/>
      <c r="AV217" s="24"/>
    </row>
    <row r="218" spans="2:48" ht="12.75">
      <c r="B218" s="58">
        <v>17</v>
      </c>
      <c r="C218" s="37"/>
      <c r="D218" s="33"/>
      <c r="E218" s="88"/>
      <c r="F218" s="86"/>
      <c r="G218" s="8" t="s">
        <v>8</v>
      </c>
      <c r="H218" s="42">
        <v>1820.66</v>
      </c>
      <c r="I218" s="20">
        <v>1586.89</v>
      </c>
      <c r="J218" s="42"/>
      <c r="K218" s="213"/>
      <c r="L218" s="213"/>
      <c r="M218" s="213"/>
      <c r="N218" s="210">
        <f t="shared" si="66"/>
        <v>79.34450000000001</v>
      </c>
      <c r="O218" s="10">
        <f t="shared" si="67"/>
        <v>1835.68</v>
      </c>
      <c r="P218" s="98"/>
      <c r="Q218" s="48">
        <v>1662</v>
      </c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>
        <v>173.68</v>
      </c>
      <c r="AT218" s="48"/>
      <c r="AU218" s="48"/>
      <c r="AV218" s="24"/>
    </row>
    <row r="219" spans="2:48" ht="12.75">
      <c r="B219" s="58">
        <v>17</v>
      </c>
      <c r="C219" s="37"/>
      <c r="D219" s="33"/>
      <c r="E219" s="88"/>
      <c r="F219" s="86"/>
      <c r="G219" s="8" t="s">
        <v>9</v>
      </c>
      <c r="H219" s="42">
        <v>2036.26</v>
      </c>
      <c r="I219" s="20">
        <v>1827.65</v>
      </c>
      <c r="J219" s="42"/>
      <c r="K219" s="213"/>
      <c r="L219" s="213"/>
      <c r="M219" s="213"/>
      <c r="N219" s="210">
        <f t="shared" si="66"/>
        <v>91.38250000000001</v>
      </c>
      <c r="O219" s="10">
        <f t="shared" si="67"/>
        <v>1847.66</v>
      </c>
      <c r="P219" s="98"/>
      <c r="Q219" s="48">
        <v>1662</v>
      </c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>
        <v>185.66</v>
      </c>
      <c r="AT219" s="48"/>
      <c r="AU219" s="48"/>
      <c r="AV219" s="24"/>
    </row>
    <row r="220" spans="2:48" ht="12.75">
      <c r="B220" s="58">
        <v>17</v>
      </c>
      <c r="C220" s="37"/>
      <c r="D220" s="33"/>
      <c r="E220" s="88"/>
      <c r="F220" s="86"/>
      <c r="G220" s="8" t="s">
        <v>10</v>
      </c>
      <c r="H220" s="42">
        <v>2036.26</v>
      </c>
      <c r="I220" s="20">
        <v>1784.64</v>
      </c>
      <c r="J220" s="42"/>
      <c r="K220" s="213"/>
      <c r="L220" s="213"/>
      <c r="M220" s="213"/>
      <c r="N220" s="210">
        <f t="shared" si="66"/>
        <v>89.23200000000001</v>
      </c>
      <c r="O220" s="10">
        <f t="shared" si="67"/>
        <v>1847.66</v>
      </c>
      <c r="P220" s="98"/>
      <c r="Q220" s="48">
        <v>1662</v>
      </c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>
        <v>185.66</v>
      </c>
      <c r="AT220" s="48"/>
      <c r="AU220" s="48"/>
      <c r="AV220" s="24"/>
    </row>
    <row r="221" spans="2:48" ht="12.75">
      <c r="B221" s="58">
        <v>17</v>
      </c>
      <c r="C221" s="37"/>
      <c r="D221" s="33"/>
      <c r="E221" s="88"/>
      <c r="F221" s="86"/>
      <c r="G221" s="8" t="s">
        <v>11</v>
      </c>
      <c r="H221" s="42">
        <v>2036.26</v>
      </c>
      <c r="I221" s="20">
        <v>1588.38</v>
      </c>
      <c r="J221" s="42"/>
      <c r="K221" s="213"/>
      <c r="L221" s="213"/>
      <c r="M221" s="213"/>
      <c r="N221" s="210">
        <f t="shared" si="66"/>
        <v>79.41900000000001</v>
      </c>
      <c r="O221" s="10">
        <f t="shared" si="67"/>
        <v>1847.66</v>
      </c>
      <c r="P221" s="98"/>
      <c r="Q221" s="48">
        <v>1662</v>
      </c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>
        <v>185.66</v>
      </c>
      <c r="AT221" s="48"/>
      <c r="AU221" s="48"/>
      <c r="AV221" s="24"/>
    </row>
    <row r="222" spans="2:48" ht="12.75">
      <c r="B222" s="58">
        <v>17</v>
      </c>
      <c r="C222" s="37"/>
      <c r="D222" s="33"/>
      <c r="E222" s="88"/>
      <c r="F222" s="86"/>
      <c r="G222" s="8" t="s">
        <v>12</v>
      </c>
      <c r="H222" s="42">
        <v>5186.5</v>
      </c>
      <c r="I222" s="20">
        <v>3929.01</v>
      </c>
      <c r="J222" s="42"/>
      <c r="K222" s="213"/>
      <c r="L222" s="213"/>
      <c r="M222" s="213"/>
      <c r="N222" s="210">
        <f t="shared" si="66"/>
        <v>196.45050000000003</v>
      </c>
      <c r="O222" s="10">
        <f t="shared" si="67"/>
        <v>1847.66</v>
      </c>
      <c r="P222" s="98"/>
      <c r="Q222" s="48">
        <v>1662</v>
      </c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>
        <v>185.66</v>
      </c>
      <c r="AT222" s="48"/>
      <c r="AU222" s="48"/>
      <c r="AV222" s="24"/>
    </row>
    <row r="223" spans="2:48" ht="12.75">
      <c r="B223" s="58">
        <v>17</v>
      </c>
      <c r="C223" s="37"/>
      <c r="D223" s="33"/>
      <c r="E223" s="88"/>
      <c r="F223" s="86"/>
      <c r="G223" s="8" t="s">
        <v>13</v>
      </c>
      <c r="H223" s="42">
        <v>3611.38</v>
      </c>
      <c r="I223" s="20">
        <v>3031.54</v>
      </c>
      <c r="J223" s="42"/>
      <c r="K223" s="213"/>
      <c r="L223" s="213"/>
      <c r="M223" s="213"/>
      <c r="N223" s="210">
        <f t="shared" si="66"/>
        <v>151.577</v>
      </c>
      <c r="O223" s="10">
        <f t="shared" si="67"/>
        <v>2029.66</v>
      </c>
      <c r="P223" s="98" t="s">
        <v>348</v>
      </c>
      <c r="Q223" s="48">
        <v>1662</v>
      </c>
      <c r="R223" s="48"/>
      <c r="S223" s="48"/>
      <c r="T223" s="48">
        <v>182</v>
      </c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>
        <v>185.66</v>
      </c>
      <c r="AT223" s="48"/>
      <c r="AU223" s="48"/>
      <c r="AV223" s="24"/>
    </row>
    <row r="224" spans="2:48" ht="13.5" thickBot="1">
      <c r="B224" s="150">
        <v>17</v>
      </c>
      <c r="C224" s="38"/>
      <c r="D224" s="35"/>
      <c r="E224" s="125"/>
      <c r="F224" s="87"/>
      <c r="G224" s="12" t="s">
        <v>14</v>
      </c>
      <c r="H224" s="42">
        <v>3611.38</v>
      </c>
      <c r="I224" s="21">
        <v>4691.06</v>
      </c>
      <c r="J224" s="42"/>
      <c r="K224" s="213"/>
      <c r="L224" s="213"/>
      <c r="M224" s="213"/>
      <c r="N224" s="210">
        <f t="shared" si="66"/>
        <v>234.55300000000003</v>
      </c>
      <c r="O224" s="10">
        <f t="shared" si="67"/>
        <v>3170.66</v>
      </c>
      <c r="P224" s="108"/>
      <c r="Q224" s="49">
        <v>1634</v>
      </c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>
        <v>1351</v>
      </c>
      <c r="AK224" s="49"/>
      <c r="AL224" s="49"/>
      <c r="AM224" s="49"/>
      <c r="AN224" s="49"/>
      <c r="AO224" s="49"/>
      <c r="AP224" s="49"/>
      <c r="AQ224" s="49"/>
      <c r="AR224" s="49"/>
      <c r="AS224" s="49">
        <v>185.66</v>
      </c>
      <c r="AT224" s="49"/>
      <c r="AU224" s="49"/>
      <c r="AV224" s="128">
        <f>AV212+I212+J212-K212-L212-M212-N212-O212</f>
        <v>1005.7390000000014</v>
      </c>
    </row>
    <row r="225" spans="2:48" ht="14.25" thickBot="1" thickTop="1">
      <c r="B225" s="148">
        <v>18</v>
      </c>
      <c r="C225" s="73" t="s">
        <v>43</v>
      </c>
      <c r="D225" s="67">
        <v>82</v>
      </c>
      <c r="E225" s="145" t="s">
        <v>50</v>
      </c>
      <c r="F225" s="84">
        <v>1015.6</v>
      </c>
      <c r="G225" s="50"/>
      <c r="H225" s="69">
        <v>121775.09</v>
      </c>
      <c r="I225" s="69">
        <v>127513.50000000001</v>
      </c>
      <c r="J225" s="69">
        <f>SUM(J226:J237)</f>
        <v>0</v>
      </c>
      <c r="K225" s="211">
        <f>SUM(K226:K237)</f>
        <v>0</v>
      </c>
      <c r="L225" s="211">
        <f>SUM(L226:L237)</f>
        <v>1647.83</v>
      </c>
      <c r="M225" s="211">
        <f>SUM(M226:M237)</f>
        <v>4778.97</v>
      </c>
      <c r="N225" s="215">
        <f>SUM(N226:N237)</f>
        <v>6375.675000000001</v>
      </c>
      <c r="O225" s="16">
        <f>SUM(Q225:AU225)</f>
        <v>99819.26</v>
      </c>
      <c r="P225" s="99"/>
      <c r="Q225" s="11">
        <f>SUM(Q226:Q237)</f>
        <v>72559</v>
      </c>
      <c r="R225" s="11">
        <f>SUM(R226:R237)</f>
        <v>0</v>
      </c>
      <c r="S225" s="11">
        <f>SUM(S226:S237)</f>
        <v>5025</v>
      </c>
      <c r="T225" s="11">
        <f>SUM(T226:T237)</f>
        <v>0</v>
      </c>
      <c r="U225" s="11">
        <f>SUM(U226:U237)</f>
        <v>0</v>
      </c>
      <c r="V225" s="50">
        <f aca="true" t="shared" si="68" ref="V225:AM225">SUM(V226:V237)</f>
        <v>0</v>
      </c>
      <c r="W225" s="50">
        <f t="shared" si="68"/>
        <v>731</v>
      </c>
      <c r="X225" s="50">
        <f t="shared" si="68"/>
        <v>0</v>
      </c>
      <c r="Y225" s="50">
        <f t="shared" si="68"/>
        <v>5852</v>
      </c>
      <c r="Z225" s="50">
        <f>SUM(Z226:Z237)</f>
        <v>0</v>
      </c>
      <c r="AA225" s="50">
        <f>SUM(AA226:AA237)</f>
        <v>0</v>
      </c>
      <c r="AB225" s="50">
        <f t="shared" si="68"/>
        <v>1695</v>
      </c>
      <c r="AC225" s="50">
        <f t="shared" si="68"/>
        <v>0</v>
      </c>
      <c r="AD225" s="50">
        <f t="shared" si="68"/>
        <v>0</v>
      </c>
      <c r="AE225" s="50">
        <f t="shared" si="68"/>
        <v>0</v>
      </c>
      <c r="AF225" s="50">
        <f t="shared" si="68"/>
        <v>6356</v>
      </c>
      <c r="AG225" s="50">
        <f t="shared" si="68"/>
        <v>0</v>
      </c>
      <c r="AH225" s="50">
        <f t="shared" si="68"/>
        <v>0</v>
      </c>
      <c r="AI225" s="50">
        <f>SUM(AI226:AI237)</f>
        <v>0</v>
      </c>
      <c r="AJ225" s="50">
        <f>SUM(AJ226:AJ237)</f>
        <v>0</v>
      </c>
      <c r="AK225" s="50">
        <f>SUM(AK226:AK237)</f>
        <v>0</v>
      </c>
      <c r="AL225" s="50">
        <f>SUM(AL226:AL237)</f>
        <v>0</v>
      </c>
      <c r="AM225" s="50">
        <f t="shared" si="68"/>
        <v>0</v>
      </c>
      <c r="AN225" s="11">
        <f aca="true" t="shared" si="69" ref="AN225:AU225">SUM(AN226:AN237)</f>
        <v>0</v>
      </c>
      <c r="AO225" s="11">
        <f t="shared" si="69"/>
        <v>0</v>
      </c>
      <c r="AP225" s="11">
        <f t="shared" si="69"/>
        <v>0</v>
      </c>
      <c r="AQ225" s="11">
        <f>SUM(AQ226:AQ237)</f>
        <v>0</v>
      </c>
      <c r="AR225" s="11">
        <f>SUM(AR226:AR237)</f>
        <v>0</v>
      </c>
      <c r="AS225" s="11">
        <f t="shared" si="69"/>
        <v>5905.260000000001</v>
      </c>
      <c r="AT225" s="11">
        <f t="shared" si="69"/>
        <v>0</v>
      </c>
      <c r="AU225" s="11">
        <f t="shared" si="69"/>
        <v>1696</v>
      </c>
      <c r="AV225" s="127">
        <v>-10124.02</v>
      </c>
    </row>
    <row r="226" spans="2:48" ht="13.5" thickTop="1">
      <c r="B226" s="149">
        <v>18</v>
      </c>
      <c r="C226" s="36" t="s">
        <v>72</v>
      </c>
      <c r="D226" s="31"/>
      <c r="E226" s="89"/>
      <c r="F226" s="85"/>
      <c r="G226" s="61" t="s">
        <v>3</v>
      </c>
      <c r="H226" s="41">
        <v>9211.9</v>
      </c>
      <c r="I226" s="19">
        <v>5339.54</v>
      </c>
      <c r="J226" s="41"/>
      <c r="K226" s="212"/>
      <c r="L226" s="212">
        <v>1647.83</v>
      </c>
      <c r="M226" s="212">
        <v>4778.97</v>
      </c>
      <c r="N226" s="210">
        <f aca="true" t="shared" si="70" ref="N226:N237">I226*0.05</f>
        <v>266.97700000000003</v>
      </c>
      <c r="O226" s="10">
        <f>SUM(Q226:AU226)</f>
        <v>5997.01</v>
      </c>
      <c r="P226" s="107" t="s">
        <v>181</v>
      </c>
      <c r="Q226" s="39">
        <v>5240</v>
      </c>
      <c r="R226" s="39"/>
      <c r="S226" s="39">
        <v>298</v>
      </c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>
        <v>459.01</v>
      </c>
      <c r="AT226" s="39"/>
      <c r="AU226" s="39"/>
      <c r="AV226" s="23"/>
    </row>
    <row r="227" spans="2:48" ht="12.75">
      <c r="B227" s="58">
        <v>18</v>
      </c>
      <c r="C227" s="37"/>
      <c r="D227" s="33"/>
      <c r="E227" s="90"/>
      <c r="F227" s="86"/>
      <c r="G227" s="62" t="s">
        <v>4</v>
      </c>
      <c r="H227" s="42">
        <v>9622.22</v>
      </c>
      <c r="I227" s="20">
        <v>9224.42</v>
      </c>
      <c r="J227" s="42"/>
      <c r="K227" s="213"/>
      <c r="L227" s="213"/>
      <c r="M227" s="213"/>
      <c r="N227" s="210">
        <f t="shared" si="70"/>
        <v>461.221</v>
      </c>
      <c r="O227" s="10">
        <f aca="true" t="shared" si="71" ref="O227:O237">SUM(Q227:AU227)</f>
        <v>5699.01</v>
      </c>
      <c r="P227" s="98"/>
      <c r="Q227" s="48">
        <v>5240</v>
      </c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>
        <v>459.01</v>
      </c>
      <c r="AT227" s="39"/>
      <c r="AU227" s="48"/>
      <c r="AV227" s="24"/>
    </row>
    <row r="228" spans="2:48" ht="12.75">
      <c r="B228" s="58">
        <v>18</v>
      </c>
      <c r="C228" s="37"/>
      <c r="D228" s="33"/>
      <c r="E228" s="88"/>
      <c r="F228" s="86"/>
      <c r="G228" s="8" t="s">
        <v>5</v>
      </c>
      <c r="H228" s="42">
        <v>9617.56</v>
      </c>
      <c r="I228" s="20">
        <v>11397.19</v>
      </c>
      <c r="J228" s="42"/>
      <c r="K228" s="213"/>
      <c r="L228" s="213"/>
      <c r="M228" s="213"/>
      <c r="N228" s="210">
        <f t="shared" si="70"/>
        <v>569.8595</v>
      </c>
      <c r="O228" s="10">
        <f t="shared" si="71"/>
        <v>12075.05</v>
      </c>
      <c r="P228" s="176" t="s">
        <v>202</v>
      </c>
      <c r="Q228" s="48">
        <v>5240</v>
      </c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>
        <v>6356</v>
      </c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>
        <v>479.05</v>
      </c>
      <c r="AT228" s="39"/>
      <c r="AU228" s="39"/>
      <c r="AV228" s="24"/>
    </row>
    <row r="229" spans="2:48" ht="12.75">
      <c r="B229" s="58">
        <v>18</v>
      </c>
      <c r="C229" s="37"/>
      <c r="D229" s="33"/>
      <c r="E229" s="88"/>
      <c r="F229" s="86"/>
      <c r="G229" s="8" t="s">
        <v>6</v>
      </c>
      <c r="H229" s="42">
        <v>9617.56</v>
      </c>
      <c r="I229" s="20">
        <v>9437.45</v>
      </c>
      <c r="J229" s="42"/>
      <c r="K229" s="213"/>
      <c r="L229" s="213"/>
      <c r="M229" s="213"/>
      <c r="N229" s="210">
        <f t="shared" si="70"/>
        <v>471.87250000000006</v>
      </c>
      <c r="O229" s="10">
        <f t="shared" si="71"/>
        <v>11641.05</v>
      </c>
      <c r="P229" s="94" t="s">
        <v>174</v>
      </c>
      <c r="Q229" s="48">
        <v>7005</v>
      </c>
      <c r="R229" s="48"/>
      <c r="S229" s="48">
        <f>1898+1831</f>
        <v>3729</v>
      </c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>
        <v>479.05</v>
      </c>
      <c r="AT229" s="48"/>
      <c r="AU229" s="48">
        <v>428</v>
      </c>
      <c r="AV229" s="24"/>
    </row>
    <row r="230" spans="2:48" ht="12.75">
      <c r="B230" s="58">
        <v>18</v>
      </c>
      <c r="C230" s="37"/>
      <c r="D230" s="33"/>
      <c r="E230" s="88"/>
      <c r="F230" s="86"/>
      <c r="G230" s="8" t="s">
        <v>7</v>
      </c>
      <c r="H230" s="42">
        <v>9617.56</v>
      </c>
      <c r="I230" s="20">
        <v>10322.14</v>
      </c>
      <c r="J230" s="42"/>
      <c r="K230" s="213"/>
      <c r="L230" s="213"/>
      <c r="M230" s="213"/>
      <c r="N230" s="210">
        <f t="shared" si="70"/>
        <v>516.107</v>
      </c>
      <c r="O230" s="10">
        <f t="shared" si="71"/>
        <v>15058.05</v>
      </c>
      <c r="P230" s="98" t="s">
        <v>250</v>
      </c>
      <c r="Q230" s="48">
        <v>6301</v>
      </c>
      <c r="R230" s="48"/>
      <c r="S230" s="48"/>
      <c r="T230" s="48"/>
      <c r="U230" s="48"/>
      <c r="V230" s="48"/>
      <c r="W230" s="48">
        <v>731</v>
      </c>
      <c r="X230" s="48"/>
      <c r="Y230" s="48">
        <v>5852</v>
      </c>
      <c r="Z230" s="48"/>
      <c r="AA230" s="48"/>
      <c r="AB230" s="48">
        <v>1695</v>
      </c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>
        <v>479.05</v>
      </c>
      <c r="AT230" s="39"/>
      <c r="AU230" s="48"/>
      <c r="AV230" s="24"/>
    </row>
    <row r="231" spans="2:48" ht="12.75">
      <c r="B231" s="58">
        <v>18</v>
      </c>
      <c r="C231" s="37"/>
      <c r="D231" s="33"/>
      <c r="E231" s="88"/>
      <c r="F231" s="86"/>
      <c r="G231" s="8" t="s">
        <v>8</v>
      </c>
      <c r="H231" s="42">
        <v>9614.06</v>
      </c>
      <c r="I231" s="20">
        <v>12720.77</v>
      </c>
      <c r="J231" s="42"/>
      <c r="K231" s="213"/>
      <c r="L231" s="213"/>
      <c r="M231" s="213"/>
      <c r="N231" s="210">
        <f t="shared" si="70"/>
        <v>636.0385000000001</v>
      </c>
      <c r="O231" s="10">
        <f t="shared" si="71"/>
        <v>8198.05</v>
      </c>
      <c r="P231" s="98" t="s">
        <v>288</v>
      </c>
      <c r="Q231" s="48">
        <v>6301</v>
      </c>
      <c r="R231" s="48"/>
      <c r="S231" s="48">
        <v>998</v>
      </c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>
        <v>479.05</v>
      </c>
      <c r="AT231" s="48"/>
      <c r="AU231" s="48">
        <v>420</v>
      </c>
      <c r="AV231" s="24"/>
    </row>
    <row r="232" spans="2:48" ht="12.75">
      <c r="B232" s="58">
        <v>18</v>
      </c>
      <c r="C232" s="37"/>
      <c r="D232" s="33"/>
      <c r="E232" s="88"/>
      <c r="F232" s="86"/>
      <c r="G232" s="8" t="s">
        <v>9</v>
      </c>
      <c r="H232" s="42">
        <v>10753.87</v>
      </c>
      <c r="I232" s="20">
        <v>8361.55</v>
      </c>
      <c r="J232" s="42"/>
      <c r="K232" s="213"/>
      <c r="L232" s="213"/>
      <c r="M232" s="213"/>
      <c r="N232" s="210">
        <f t="shared" si="70"/>
        <v>418.0775</v>
      </c>
      <c r="O232" s="10">
        <f t="shared" si="71"/>
        <v>6812.84</v>
      </c>
      <c r="P232" s="98"/>
      <c r="Q232" s="48">
        <v>6301</v>
      </c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>
        <v>511.84</v>
      </c>
      <c r="AT232" s="48"/>
      <c r="AU232" s="48"/>
      <c r="AV232" s="24"/>
    </row>
    <row r="233" spans="2:48" ht="12.75">
      <c r="B233" s="58">
        <v>18</v>
      </c>
      <c r="C233" s="37"/>
      <c r="D233" s="33"/>
      <c r="E233" s="88"/>
      <c r="F233" s="86"/>
      <c r="G233" s="8" t="s">
        <v>10</v>
      </c>
      <c r="H233" s="42">
        <v>10748.66</v>
      </c>
      <c r="I233" s="20">
        <v>10853.6</v>
      </c>
      <c r="J233" s="42"/>
      <c r="K233" s="213"/>
      <c r="L233" s="213"/>
      <c r="M233" s="213"/>
      <c r="N233" s="210">
        <f t="shared" si="70"/>
        <v>542.6800000000001</v>
      </c>
      <c r="O233" s="10">
        <f t="shared" si="71"/>
        <v>6812.84</v>
      </c>
      <c r="P233" s="98"/>
      <c r="Q233" s="48">
        <v>6301</v>
      </c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>
        <v>511.84</v>
      </c>
      <c r="AT233" s="48"/>
      <c r="AU233" s="48"/>
      <c r="AV233" s="24"/>
    </row>
    <row r="234" spans="2:48" ht="12.75">
      <c r="B234" s="58">
        <v>18</v>
      </c>
      <c r="C234" s="37"/>
      <c r="D234" s="33"/>
      <c r="E234" s="88"/>
      <c r="F234" s="86"/>
      <c r="G234" s="8" t="s">
        <v>11</v>
      </c>
      <c r="H234" s="42">
        <v>10659.64</v>
      </c>
      <c r="I234" s="20">
        <v>7212.03</v>
      </c>
      <c r="J234" s="42"/>
      <c r="K234" s="213"/>
      <c r="L234" s="213"/>
      <c r="M234" s="213"/>
      <c r="N234" s="210">
        <f t="shared" si="70"/>
        <v>360.6015</v>
      </c>
      <c r="O234" s="10">
        <f t="shared" si="71"/>
        <v>7240.84</v>
      </c>
      <c r="P234" s="98"/>
      <c r="Q234" s="48">
        <v>6301</v>
      </c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>
        <v>511.84</v>
      </c>
      <c r="AT234" s="48"/>
      <c r="AU234" s="48">
        <v>428</v>
      </c>
      <c r="AV234" s="24"/>
    </row>
    <row r="235" spans="2:48" ht="12.75">
      <c r="B235" s="58">
        <v>18</v>
      </c>
      <c r="C235" s="37"/>
      <c r="D235" s="33"/>
      <c r="E235" s="88"/>
      <c r="F235" s="86"/>
      <c r="G235" s="8" t="s">
        <v>12</v>
      </c>
      <c r="H235" s="42">
        <v>10781.7</v>
      </c>
      <c r="I235" s="20">
        <v>19182.78</v>
      </c>
      <c r="J235" s="42"/>
      <c r="K235" s="213"/>
      <c r="L235" s="213"/>
      <c r="M235" s="213"/>
      <c r="N235" s="210">
        <f t="shared" si="70"/>
        <v>959.139</v>
      </c>
      <c r="O235" s="10">
        <f t="shared" si="71"/>
        <v>6812.84</v>
      </c>
      <c r="P235" s="98"/>
      <c r="Q235" s="48">
        <v>6301</v>
      </c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>
        <v>511.84</v>
      </c>
      <c r="AT235" s="48"/>
      <c r="AU235" s="48"/>
      <c r="AV235" s="24"/>
    </row>
    <row r="236" spans="2:48" ht="12.75">
      <c r="B236" s="58">
        <v>18</v>
      </c>
      <c r="C236" s="37"/>
      <c r="D236" s="33"/>
      <c r="E236" s="88"/>
      <c r="F236" s="86"/>
      <c r="G236" s="8" t="s">
        <v>13</v>
      </c>
      <c r="H236" s="42">
        <v>10765.18</v>
      </c>
      <c r="I236" s="20">
        <v>8612.36</v>
      </c>
      <c r="J236" s="42"/>
      <c r="K236" s="213"/>
      <c r="L236" s="213"/>
      <c r="M236" s="213"/>
      <c r="N236" s="210">
        <f t="shared" si="70"/>
        <v>430.61800000000005</v>
      </c>
      <c r="O236" s="10">
        <f t="shared" si="71"/>
        <v>6812.84</v>
      </c>
      <c r="P236" s="98"/>
      <c r="Q236" s="48">
        <v>6301</v>
      </c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>
        <v>511.84</v>
      </c>
      <c r="AT236" s="48"/>
      <c r="AU236" s="48"/>
      <c r="AV236" s="24"/>
    </row>
    <row r="237" spans="2:48" ht="13.5" thickBot="1">
      <c r="B237" s="150">
        <v>18</v>
      </c>
      <c r="C237" s="38"/>
      <c r="D237" s="35"/>
      <c r="E237" s="125"/>
      <c r="F237" s="87"/>
      <c r="G237" s="12" t="s">
        <v>14</v>
      </c>
      <c r="H237" s="42">
        <v>10765.18</v>
      </c>
      <c r="I237" s="21">
        <v>14849.67</v>
      </c>
      <c r="J237" s="42"/>
      <c r="K237" s="213"/>
      <c r="L237" s="213"/>
      <c r="M237" s="213"/>
      <c r="N237" s="210">
        <f t="shared" si="70"/>
        <v>742.4835</v>
      </c>
      <c r="O237" s="10">
        <f t="shared" si="71"/>
        <v>6658.84</v>
      </c>
      <c r="P237" s="108"/>
      <c r="Q237" s="49">
        <v>5727</v>
      </c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>
        <v>511.84</v>
      </c>
      <c r="AT237" s="49"/>
      <c r="AU237" s="49">
        <v>420</v>
      </c>
      <c r="AV237" s="128">
        <f>AV225+I225+J225-K225-L225-M225-N225-O225</f>
        <v>4767.74500000001</v>
      </c>
    </row>
    <row r="238" spans="2:48" ht="14.25" thickBot="1" thickTop="1">
      <c r="B238" s="148">
        <v>19</v>
      </c>
      <c r="C238" s="73" t="s">
        <v>17</v>
      </c>
      <c r="D238" s="67">
        <v>62</v>
      </c>
      <c r="E238" s="145" t="s">
        <v>49</v>
      </c>
      <c r="F238" s="84">
        <v>1671.8</v>
      </c>
      <c r="G238" s="50"/>
      <c r="H238" s="69">
        <v>107058.1</v>
      </c>
      <c r="I238" s="69">
        <v>109369.93000000001</v>
      </c>
      <c r="J238" s="69">
        <f>SUM(J239:J250)</f>
        <v>0</v>
      </c>
      <c r="K238" s="211">
        <f>SUM(K239:K250)</f>
        <v>0</v>
      </c>
      <c r="L238" s="211">
        <f>SUM(L239:L250)</f>
        <v>2377.09</v>
      </c>
      <c r="M238" s="211">
        <f>SUM(M239:M250)</f>
        <v>4380.23</v>
      </c>
      <c r="N238" s="215">
        <f>SUM(N239:N250)</f>
        <v>5468.4965</v>
      </c>
      <c r="O238" s="16">
        <f aca="true" t="shared" si="72" ref="O238:O252">SUM(Q238:AU238)</f>
        <v>37312.44</v>
      </c>
      <c r="P238" s="99"/>
      <c r="Q238" s="11">
        <f>SUM(Q239:Q250)</f>
        <v>23983</v>
      </c>
      <c r="R238" s="11">
        <f>SUM(R239:R250)</f>
        <v>0</v>
      </c>
      <c r="S238" s="11">
        <f>SUM(S239:S250)</f>
        <v>1100</v>
      </c>
      <c r="T238" s="11">
        <f>SUM(T239:T250)</f>
        <v>0</v>
      </c>
      <c r="U238" s="11">
        <f>SUM(U239:U250)</f>
        <v>0</v>
      </c>
      <c r="V238" s="50">
        <f aca="true" t="shared" si="73" ref="V238:AM238">SUM(V239:V250)</f>
        <v>0</v>
      </c>
      <c r="W238" s="50">
        <f t="shared" si="73"/>
        <v>643</v>
      </c>
      <c r="X238" s="50">
        <f t="shared" si="73"/>
        <v>194</v>
      </c>
      <c r="Y238" s="50">
        <f t="shared" si="73"/>
        <v>0</v>
      </c>
      <c r="Z238" s="50">
        <f>SUM(Z239:Z250)</f>
        <v>0</v>
      </c>
      <c r="AA238" s="50">
        <f>SUM(AA239:AA250)</f>
        <v>0</v>
      </c>
      <c r="AB238" s="50">
        <f t="shared" si="73"/>
        <v>0</v>
      </c>
      <c r="AC238" s="50">
        <f t="shared" si="73"/>
        <v>0</v>
      </c>
      <c r="AD238" s="50">
        <f t="shared" si="73"/>
        <v>2256</v>
      </c>
      <c r="AE238" s="50">
        <f t="shared" si="73"/>
        <v>0</v>
      </c>
      <c r="AF238" s="50">
        <f t="shared" si="73"/>
        <v>0</v>
      </c>
      <c r="AG238" s="50">
        <f t="shared" si="73"/>
        <v>118</v>
      </c>
      <c r="AH238" s="50">
        <f t="shared" si="73"/>
        <v>0</v>
      </c>
      <c r="AI238" s="50">
        <f>SUM(AI239:AI250)</f>
        <v>0</v>
      </c>
      <c r="AJ238" s="50">
        <f>SUM(AJ239:AJ250)</f>
        <v>0</v>
      </c>
      <c r="AK238" s="50">
        <f>SUM(AK239:AK250)</f>
        <v>262</v>
      </c>
      <c r="AL238" s="50">
        <f>SUM(AL239:AL250)</f>
        <v>0</v>
      </c>
      <c r="AM238" s="50">
        <f t="shared" si="73"/>
        <v>0</v>
      </c>
      <c r="AN238" s="11">
        <f aca="true" t="shared" si="74" ref="AN238:AU238">SUM(AN239:AN250)</f>
        <v>0</v>
      </c>
      <c r="AO238" s="11">
        <f t="shared" si="74"/>
        <v>0</v>
      </c>
      <c r="AP238" s="11">
        <f t="shared" si="74"/>
        <v>0</v>
      </c>
      <c r="AQ238" s="11">
        <f>SUM(AQ239:AQ250)</f>
        <v>0</v>
      </c>
      <c r="AR238" s="11">
        <f>SUM(AR239:AR250)</f>
        <v>0</v>
      </c>
      <c r="AS238" s="11">
        <f t="shared" si="74"/>
        <v>5986.44</v>
      </c>
      <c r="AT238" s="11">
        <f t="shared" si="74"/>
        <v>0</v>
      </c>
      <c r="AU238" s="11">
        <f t="shared" si="74"/>
        <v>2770</v>
      </c>
      <c r="AV238" s="127">
        <v>69669.09</v>
      </c>
    </row>
    <row r="239" spans="2:48" ht="13.5" thickTop="1">
      <c r="B239" s="149">
        <v>19</v>
      </c>
      <c r="C239" s="36" t="s">
        <v>73</v>
      </c>
      <c r="D239" s="31"/>
      <c r="E239" s="89"/>
      <c r="F239" s="85"/>
      <c r="G239" s="61" t="s">
        <v>3</v>
      </c>
      <c r="H239" s="41">
        <v>7732.57</v>
      </c>
      <c r="I239" s="19">
        <v>5719.96</v>
      </c>
      <c r="J239" s="41"/>
      <c r="K239" s="212"/>
      <c r="L239" s="212">
        <v>2377.09</v>
      </c>
      <c r="M239" s="212">
        <v>4380.23</v>
      </c>
      <c r="N239" s="210">
        <f aca="true" t="shared" si="75" ref="N239:N249">I239*0.05</f>
        <v>285.998</v>
      </c>
      <c r="O239" s="10">
        <f t="shared" si="72"/>
        <v>5481.24</v>
      </c>
      <c r="P239" s="106"/>
      <c r="Q239" s="41">
        <v>4999</v>
      </c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23"/>
      <c r="AO239" s="23"/>
      <c r="AP239" s="23"/>
      <c r="AQ239" s="23"/>
      <c r="AR239" s="23"/>
      <c r="AS239" s="23">
        <v>482.24</v>
      </c>
      <c r="AT239" s="23"/>
      <c r="AU239" s="23"/>
      <c r="AV239" s="23"/>
    </row>
    <row r="240" spans="2:48" ht="12.75">
      <c r="B240" s="58">
        <v>19</v>
      </c>
      <c r="C240" s="37"/>
      <c r="D240" s="33"/>
      <c r="E240" s="90"/>
      <c r="F240" s="86"/>
      <c r="G240" s="62" t="s">
        <v>4</v>
      </c>
      <c r="H240" s="42">
        <v>7732.57</v>
      </c>
      <c r="I240" s="20">
        <v>6527.04</v>
      </c>
      <c r="J240" s="42"/>
      <c r="K240" s="213"/>
      <c r="L240" s="213"/>
      <c r="M240" s="213"/>
      <c r="N240" s="210">
        <f t="shared" si="75"/>
        <v>326.35200000000003</v>
      </c>
      <c r="O240" s="10">
        <f t="shared" si="72"/>
        <v>5543.24</v>
      </c>
      <c r="P240" s="101" t="s">
        <v>210</v>
      </c>
      <c r="Q240" s="42">
        <v>4999</v>
      </c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>
        <v>62</v>
      </c>
      <c r="AE240" s="48"/>
      <c r="AF240" s="48"/>
      <c r="AG240" s="48"/>
      <c r="AH240" s="48"/>
      <c r="AI240" s="48"/>
      <c r="AJ240" s="48"/>
      <c r="AK240" s="48"/>
      <c r="AL240" s="48"/>
      <c r="AM240" s="48"/>
      <c r="AN240" s="24"/>
      <c r="AO240" s="24"/>
      <c r="AP240" s="24"/>
      <c r="AQ240" s="24"/>
      <c r="AR240" s="24"/>
      <c r="AS240" s="24">
        <v>482.24</v>
      </c>
      <c r="AT240" s="23"/>
      <c r="AU240" s="24"/>
      <c r="AV240" s="24"/>
    </row>
    <row r="241" spans="2:48" ht="12.75">
      <c r="B241" s="58">
        <v>19</v>
      </c>
      <c r="C241" s="37"/>
      <c r="D241" s="33"/>
      <c r="E241" s="88"/>
      <c r="F241" s="86"/>
      <c r="G241" s="8" t="s">
        <v>5</v>
      </c>
      <c r="H241" s="42">
        <v>7732.57</v>
      </c>
      <c r="I241" s="20">
        <v>8920.1</v>
      </c>
      <c r="J241" s="42"/>
      <c r="K241" s="213"/>
      <c r="L241" s="213"/>
      <c r="M241" s="213"/>
      <c r="N241" s="210">
        <f t="shared" si="75"/>
        <v>446.00500000000005</v>
      </c>
      <c r="O241" s="10">
        <f t="shared" si="72"/>
        <v>5661.24</v>
      </c>
      <c r="P241" s="101" t="s">
        <v>385</v>
      </c>
      <c r="Q241" s="42">
        <v>4999</v>
      </c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>
        <v>62</v>
      </c>
      <c r="AE241" s="48"/>
      <c r="AF241" s="48"/>
      <c r="AG241" s="48">
        <v>118</v>
      </c>
      <c r="AH241" s="48"/>
      <c r="AI241" s="48"/>
      <c r="AJ241" s="48"/>
      <c r="AK241" s="48"/>
      <c r="AL241" s="48"/>
      <c r="AM241" s="48"/>
      <c r="AN241" s="24"/>
      <c r="AO241" s="24"/>
      <c r="AP241" s="24"/>
      <c r="AQ241" s="24"/>
      <c r="AR241" s="24"/>
      <c r="AS241" s="24">
        <v>482.24</v>
      </c>
      <c r="AT241" s="23"/>
      <c r="AU241" s="23"/>
      <c r="AV241" s="24"/>
    </row>
    <row r="242" spans="2:48" ht="12.75">
      <c r="B242" s="58">
        <v>19</v>
      </c>
      <c r="C242" s="37"/>
      <c r="D242" s="33"/>
      <c r="E242" s="88"/>
      <c r="F242" s="86"/>
      <c r="G242" s="8" t="s">
        <v>6</v>
      </c>
      <c r="H242" s="42">
        <v>7732.57</v>
      </c>
      <c r="I242" s="20">
        <v>8352.39</v>
      </c>
      <c r="J242" s="42"/>
      <c r="K242" s="213"/>
      <c r="L242" s="213"/>
      <c r="M242" s="213"/>
      <c r="N242" s="210">
        <f t="shared" si="75"/>
        <v>417.6195</v>
      </c>
      <c r="O242" s="10">
        <f t="shared" si="72"/>
        <v>2296.24</v>
      </c>
      <c r="P242" s="103"/>
      <c r="Q242" s="42">
        <v>1186</v>
      </c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24"/>
      <c r="AO242" s="24"/>
      <c r="AP242" s="24"/>
      <c r="AQ242" s="24"/>
      <c r="AR242" s="24"/>
      <c r="AS242" s="24">
        <v>482.24</v>
      </c>
      <c r="AT242" s="24"/>
      <c r="AU242" s="24">
        <v>628</v>
      </c>
      <c r="AV242" s="24"/>
    </row>
    <row r="243" spans="2:48" ht="12.75">
      <c r="B243" s="58">
        <v>19</v>
      </c>
      <c r="C243" s="37"/>
      <c r="D243" s="33"/>
      <c r="E243" s="88"/>
      <c r="F243" s="86"/>
      <c r="G243" s="8" t="s">
        <v>7</v>
      </c>
      <c r="H243" s="42">
        <v>7732.57</v>
      </c>
      <c r="I243" s="20">
        <v>6337.12</v>
      </c>
      <c r="J243" s="42"/>
      <c r="K243" s="213"/>
      <c r="L243" s="213"/>
      <c r="M243" s="213"/>
      <c r="N243" s="210">
        <f t="shared" si="75"/>
        <v>316.856</v>
      </c>
      <c r="O243" s="10">
        <f t="shared" si="72"/>
        <v>3136.24</v>
      </c>
      <c r="P243" s="101" t="s">
        <v>170</v>
      </c>
      <c r="Q243" s="42">
        <v>801</v>
      </c>
      <c r="R243" s="48"/>
      <c r="S243" s="48"/>
      <c r="T243" s="48"/>
      <c r="U243" s="48"/>
      <c r="V243" s="48"/>
      <c r="W243" s="48">
        <v>643</v>
      </c>
      <c r="X243" s="48"/>
      <c r="Y243" s="48"/>
      <c r="Z243" s="48"/>
      <c r="AA243" s="48"/>
      <c r="AB243" s="48"/>
      <c r="AC243" s="48"/>
      <c r="AD243" s="48">
        <v>1210</v>
      </c>
      <c r="AE243" s="48"/>
      <c r="AF243" s="48"/>
      <c r="AG243" s="48"/>
      <c r="AH243" s="48"/>
      <c r="AI243" s="48"/>
      <c r="AJ243" s="48"/>
      <c r="AK243" s="48"/>
      <c r="AL243" s="48"/>
      <c r="AM243" s="48"/>
      <c r="AN243" s="24"/>
      <c r="AO243" s="24"/>
      <c r="AP243" s="24"/>
      <c r="AQ243" s="24"/>
      <c r="AR243" s="24"/>
      <c r="AS243" s="24">
        <v>482.24</v>
      </c>
      <c r="AT243" s="23"/>
      <c r="AU243" s="24"/>
      <c r="AV243" s="24"/>
    </row>
    <row r="244" spans="2:48" ht="12.75">
      <c r="B244" s="58">
        <v>19</v>
      </c>
      <c r="C244" s="37"/>
      <c r="D244" s="33"/>
      <c r="E244" s="88"/>
      <c r="F244" s="86"/>
      <c r="G244" s="8" t="s">
        <v>8</v>
      </c>
      <c r="H244" s="42">
        <v>7732.57</v>
      </c>
      <c r="I244" s="20">
        <v>7533.61</v>
      </c>
      <c r="J244" s="42"/>
      <c r="K244" s="213"/>
      <c r="L244" s="213"/>
      <c r="M244" s="213"/>
      <c r="N244" s="210">
        <f t="shared" si="75"/>
        <v>376.6805</v>
      </c>
      <c r="O244" s="10">
        <f t="shared" si="72"/>
        <v>2040.24</v>
      </c>
      <c r="P244" s="101"/>
      <c r="Q244" s="42">
        <v>801</v>
      </c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24"/>
      <c r="AO244" s="24"/>
      <c r="AP244" s="24"/>
      <c r="AQ244" s="24"/>
      <c r="AR244" s="24"/>
      <c r="AS244" s="24">
        <v>482.24</v>
      </c>
      <c r="AT244" s="24"/>
      <c r="AU244" s="24">
        <v>757</v>
      </c>
      <c r="AV244" s="24"/>
    </row>
    <row r="245" spans="2:48" ht="12.75">
      <c r="B245" s="58">
        <v>19</v>
      </c>
      <c r="C245" s="37"/>
      <c r="D245" s="33"/>
      <c r="E245" s="88"/>
      <c r="F245" s="86"/>
      <c r="G245" s="8" t="s">
        <v>9</v>
      </c>
      <c r="H245" s="42">
        <v>8647.08</v>
      </c>
      <c r="I245" s="20">
        <v>7340.04</v>
      </c>
      <c r="J245" s="42"/>
      <c r="K245" s="213"/>
      <c r="L245" s="213"/>
      <c r="M245" s="213"/>
      <c r="N245" s="210">
        <f t="shared" si="75"/>
        <v>367.002</v>
      </c>
      <c r="O245" s="10">
        <f t="shared" si="72"/>
        <v>1316.5</v>
      </c>
      <c r="P245" s="181"/>
      <c r="Q245" s="42">
        <v>801</v>
      </c>
      <c r="R245" s="24"/>
      <c r="S245" s="24"/>
      <c r="T245" s="24"/>
      <c r="U245" s="24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24"/>
      <c r="AO245" s="24"/>
      <c r="AP245" s="24"/>
      <c r="AQ245" s="24"/>
      <c r="AR245" s="24"/>
      <c r="AS245" s="24">
        <v>515.5</v>
      </c>
      <c r="AT245" s="24"/>
      <c r="AU245" s="24"/>
      <c r="AV245" s="24"/>
    </row>
    <row r="246" spans="2:48" ht="12.75">
      <c r="B246" s="58">
        <v>19</v>
      </c>
      <c r="C246" s="37"/>
      <c r="D246" s="33"/>
      <c r="E246" s="88"/>
      <c r="F246" s="86"/>
      <c r="G246" s="8" t="s">
        <v>10</v>
      </c>
      <c r="H246" s="42">
        <v>8647.08</v>
      </c>
      <c r="I246" s="20">
        <v>9973.17</v>
      </c>
      <c r="J246" s="42"/>
      <c r="K246" s="213"/>
      <c r="L246" s="213"/>
      <c r="M246" s="213"/>
      <c r="N246" s="210">
        <f t="shared" si="75"/>
        <v>498.6585</v>
      </c>
      <c r="O246" s="10">
        <f t="shared" si="72"/>
        <v>1316.5</v>
      </c>
      <c r="P246" s="101"/>
      <c r="Q246" s="42">
        <v>801</v>
      </c>
      <c r="R246" s="24"/>
      <c r="S246" s="24"/>
      <c r="T246" s="24"/>
      <c r="U246" s="24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24"/>
      <c r="AO246" s="24"/>
      <c r="AP246" s="24"/>
      <c r="AQ246" s="24"/>
      <c r="AR246" s="24"/>
      <c r="AS246" s="24">
        <v>515.5</v>
      </c>
      <c r="AT246" s="24"/>
      <c r="AU246" s="24"/>
      <c r="AV246" s="24"/>
    </row>
    <row r="247" spans="2:48" ht="12.75">
      <c r="B247" s="58">
        <v>19</v>
      </c>
      <c r="C247" s="37"/>
      <c r="D247" s="33"/>
      <c r="E247" s="88"/>
      <c r="F247" s="86"/>
      <c r="G247" s="8" t="s">
        <v>11</v>
      </c>
      <c r="H247" s="42">
        <v>8647.08</v>
      </c>
      <c r="I247" s="20">
        <v>11438.29</v>
      </c>
      <c r="J247" s="42"/>
      <c r="K247" s="213"/>
      <c r="L247" s="213"/>
      <c r="M247" s="213"/>
      <c r="N247" s="210">
        <f t="shared" si="75"/>
        <v>571.9145000000001</v>
      </c>
      <c r="O247" s="10">
        <f t="shared" si="72"/>
        <v>1944.5</v>
      </c>
      <c r="P247" s="101"/>
      <c r="Q247" s="42">
        <v>801</v>
      </c>
      <c r="R247" s="24"/>
      <c r="S247" s="24"/>
      <c r="T247" s="24"/>
      <c r="U247" s="24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24"/>
      <c r="AO247" s="24"/>
      <c r="AP247" s="24"/>
      <c r="AQ247" s="24"/>
      <c r="AR247" s="24"/>
      <c r="AS247" s="24">
        <v>515.5</v>
      </c>
      <c r="AT247" s="24"/>
      <c r="AU247" s="24">
        <v>628</v>
      </c>
      <c r="AV247" s="24"/>
    </row>
    <row r="248" spans="2:48" ht="12.75">
      <c r="B248" s="58">
        <v>19</v>
      </c>
      <c r="C248" s="37"/>
      <c r="D248" s="33"/>
      <c r="E248" s="88"/>
      <c r="F248" s="86"/>
      <c r="G248" s="8" t="s">
        <v>12</v>
      </c>
      <c r="H248" s="42">
        <v>13037.18</v>
      </c>
      <c r="I248" s="20">
        <v>12662.49</v>
      </c>
      <c r="J248" s="42"/>
      <c r="K248" s="213"/>
      <c r="L248" s="213"/>
      <c r="M248" s="213"/>
      <c r="N248" s="210">
        <f t="shared" si="75"/>
        <v>633.1245</v>
      </c>
      <c r="O248" s="10">
        <f t="shared" si="72"/>
        <v>2432.5</v>
      </c>
      <c r="P248" s="101" t="s">
        <v>336</v>
      </c>
      <c r="Q248" s="24">
        <v>801</v>
      </c>
      <c r="R248" s="24"/>
      <c r="S248" s="24"/>
      <c r="T248" s="24"/>
      <c r="U248" s="24"/>
      <c r="V248" s="48"/>
      <c r="W248" s="48"/>
      <c r="X248" s="48">
        <v>194</v>
      </c>
      <c r="Y248" s="48"/>
      <c r="Z248" s="48"/>
      <c r="AA248" s="48"/>
      <c r="AB248" s="48"/>
      <c r="AC248" s="48"/>
      <c r="AD248" s="48">
        <f>194+728</f>
        <v>922</v>
      </c>
      <c r="AE248" s="48"/>
      <c r="AF248" s="48"/>
      <c r="AG248" s="48"/>
      <c r="AH248" s="48"/>
      <c r="AI248" s="48"/>
      <c r="AJ248" s="48"/>
      <c r="AK248" s="48"/>
      <c r="AL248" s="48"/>
      <c r="AM248" s="48"/>
      <c r="AN248" s="24"/>
      <c r="AO248" s="24"/>
      <c r="AP248" s="24"/>
      <c r="AQ248" s="24"/>
      <c r="AR248" s="24"/>
      <c r="AS248" s="24">
        <v>515.5</v>
      </c>
      <c r="AT248" s="24"/>
      <c r="AU248" s="24"/>
      <c r="AV248" s="24"/>
    </row>
    <row r="249" spans="2:48" ht="12.75">
      <c r="B249" s="58">
        <v>19</v>
      </c>
      <c r="C249" s="37"/>
      <c r="D249" s="33"/>
      <c r="E249" s="88"/>
      <c r="F249" s="86"/>
      <c r="G249" s="8" t="s">
        <v>13</v>
      </c>
      <c r="H249" s="42">
        <v>10842.13</v>
      </c>
      <c r="I249" s="20">
        <v>7756.67</v>
      </c>
      <c r="J249" s="42"/>
      <c r="K249" s="213"/>
      <c r="L249" s="213"/>
      <c r="M249" s="213"/>
      <c r="N249" s="210">
        <f t="shared" si="75"/>
        <v>387.8335</v>
      </c>
      <c r="O249" s="10">
        <f t="shared" si="72"/>
        <v>2416.5</v>
      </c>
      <c r="P249" s="101"/>
      <c r="Q249" s="24">
        <v>801</v>
      </c>
      <c r="R249" s="24"/>
      <c r="S249" s="24">
        <v>1100</v>
      </c>
      <c r="T249" s="24"/>
      <c r="U249" s="24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24"/>
      <c r="AO249" s="24"/>
      <c r="AP249" s="24"/>
      <c r="AQ249" s="24"/>
      <c r="AR249" s="24"/>
      <c r="AS249" s="24">
        <v>515.5</v>
      </c>
      <c r="AT249" s="24"/>
      <c r="AU249" s="24"/>
      <c r="AV249" s="24"/>
    </row>
    <row r="250" spans="2:48" ht="13.5" thickBot="1">
      <c r="B250" s="150">
        <v>19</v>
      </c>
      <c r="C250" s="38"/>
      <c r="D250" s="35"/>
      <c r="E250" s="125"/>
      <c r="F250" s="87"/>
      <c r="G250" s="12" t="s">
        <v>14</v>
      </c>
      <c r="H250" s="42">
        <v>10842.13</v>
      </c>
      <c r="I250" s="21">
        <v>16809.05</v>
      </c>
      <c r="J250" s="42"/>
      <c r="K250" s="213"/>
      <c r="L250" s="213"/>
      <c r="M250" s="213"/>
      <c r="N250" s="210">
        <f>I250*0.05</f>
        <v>840.4525</v>
      </c>
      <c r="O250" s="10">
        <f t="shared" si="72"/>
        <v>3727.5</v>
      </c>
      <c r="P250" s="104" t="s">
        <v>367</v>
      </c>
      <c r="Q250" s="25">
        <v>2193</v>
      </c>
      <c r="R250" s="25"/>
      <c r="S250" s="25"/>
      <c r="T250" s="25"/>
      <c r="U250" s="25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>
        <v>262</v>
      </c>
      <c r="AL250" s="49"/>
      <c r="AM250" s="49"/>
      <c r="AN250" s="25"/>
      <c r="AO250" s="25"/>
      <c r="AP250" s="25"/>
      <c r="AQ250" s="25"/>
      <c r="AR250" s="25"/>
      <c r="AS250" s="25">
        <v>515.5</v>
      </c>
      <c r="AT250" s="25"/>
      <c r="AU250" s="25">
        <v>757</v>
      </c>
      <c r="AV250" s="128">
        <f>AV238+I238+J238-K238-L238-M238-N238-O238</f>
        <v>129500.7635</v>
      </c>
    </row>
    <row r="251" spans="2:48" ht="14.25" thickBot="1" thickTop="1">
      <c r="B251" s="148">
        <v>20</v>
      </c>
      <c r="C251" s="73" t="s">
        <v>17</v>
      </c>
      <c r="D251" s="67">
        <v>54</v>
      </c>
      <c r="E251" s="145" t="s">
        <v>52</v>
      </c>
      <c r="F251" s="84">
        <v>1515.8</v>
      </c>
      <c r="G251" s="50"/>
      <c r="H251" s="69">
        <v>111760.84000000001</v>
      </c>
      <c r="I251" s="69">
        <v>108483.63000000002</v>
      </c>
      <c r="J251" s="69">
        <f>SUM(J252:J263)</f>
        <v>0</v>
      </c>
      <c r="K251" s="211">
        <f>SUM(K252:K263)</f>
        <v>0</v>
      </c>
      <c r="L251" s="211">
        <f>SUM(L252:L263)</f>
        <v>0</v>
      </c>
      <c r="M251" s="211">
        <f>SUM(M252:M263)</f>
        <v>4230.26</v>
      </c>
      <c r="N251" s="215">
        <f>SUM(N252:N263)</f>
        <v>5424.1815</v>
      </c>
      <c r="O251" s="16">
        <f t="shared" si="72"/>
        <v>84897.11</v>
      </c>
      <c r="P251" s="99"/>
      <c r="Q251" s="11">
        <f>SUM(Q252:Q263)</f>
        <v>71728</v>
      </c>
      <c r="R251" s="11">
        <f>SUM(R252:R263)</f>
        <v>0</v>
      </c>
      <c r="S251" s="11">
        <f>SUM(S252:S263)</f>
        <v>0</v>
      </c>
      <c r="T251" s="11">
        <f>SUM(T252:T263)</f>
        <v>182</v>
      </c>
      <c r="U251" s="11">
        <f>SUM(U252:U263)</f>
        <v>0</v>
      </c>
      <c r="V251" s="50">
        <f aca="true" t="shared" si="76" ref="V251:AM251">SUM(V252:V263)</f>
        <v>0</v>
      </c>
      <c r="W251" s="50">
        <f t="shared" si="76"/>
        <v>861</v>
      </c>
      <c r="X251" s="50">
        <f t="shared" si="76"/>
        <v>0</v>
      </c>
      <c r="Y251" s="50">
        <f t="shared" si="76"/>
        <v>0</v>
      </c>
      <c r="Z251" s="50">
        <f>SUM(Z252:Z263)</f>
        <v>0</v>
      </c>
      <c r="AA251" s="50">
        <f>SUM(AA252:AA263)</f>
        <v>0</v>
      </c>
      <c r="AB251" s="50">
        <f t="shared" si="76"/>
        <v>0</v>
      </c>
      <c r="AC251" s="50">
        <f t="shared" si="76"/>
        <v>0</v>
      </c>
      <c r="AD251" s="50">
        <f t="shared" si="76"/>
        <v>1441</v>
      </c>
      <c r="AE251" s="50">
        <f t="shared" si="76"/>
        <v>0</v>
      </c>
      <c r="AF251" s="50">
        <f t="shared" si="76"/>
        <v>0</v>
      </c>
      <c r="AG251" s="50">
        <f t="shared" si="76"/>
        <v>1882</v>
      </c>
      <c r="AH251" s="50">
        <f t="shared" si="76"/>
        <v>0</v>
      </c>
      <c r="AI251" s="50">
        <f>SUM(AI252:AI263)</f>
        <v>0</v>
      </c>
      <c r="AJ251" s="50">
        <f>SUM(AJ252:AJ263)</f>
        <v>0</v>
      </c>
      <c r="AK251" s="50">
        <f>SUM(AK252:AK263)</f>
        <v>0</v>
      </c>
      <c r="AL251" s="50">
        <f>SUM(AL252:AL263)</f>
        <v>0</v>
      </c>
      <c r="AM251" s="50">
        <f t="shared" si="76"/>
        <v>0</v>
      </c>
      <c r="AN251" s="11">
        <f aca="true" t="shared" si="77" ref="AN251:AU251">SUM(AN252:AN263)</f>
        <v>0</v>
      </c>
      <c r="AO251" s="11">
        <f t="shared" si="77"/>
        <v>0</v>
      </c>
      <c r="AP251" s="11">
        <f t="shared" si="77"/>
        <v>0</v>
      </c>
      <c r="AQ251" s="11">
        <f>SUM(AQ252:AQ263)</f>
        <v>0</v>
      </c>
      <c r="AR251" s="11">
        <f>SUM(AR252:AR263)</f>
        <v>0</v>
      </c>
      <c r="AS251" s="11">
        <f t="shared" si="77"/>
        <v>6033.110000000001</v>
      </c>
      <c r="AT251" s="11">
        <f t="shared" si="77"/>
        <v>0</v>
      </c>
      <c r="AU251" s="11">
        <f t="shared" si="77"/>
        <v>2770</v>
      </c>
      <c r="AV251" s="127">
        <v>-105.78</v>
      </c>
    </row>
    <row r="252" spans="2:48" ht="13.5" thickTop="1">
      <c r="B252" s="149">
        <v>20</v>
      </c>
      <c r="C252" s="36" t="s">
        <v>74</v>
      </c>
      <c r="D252" s="31"/>
      <c r="E252" s="89"/>
      <c r="F252" s="85"/>
      <c r="G252" s="61" t="s">
        <v>3</v>
      </c>
      <c r="H252" s="41">
        <v>7870.35</v>
      </c>
      <c r="I252" s="19">
        <v>4539.06</v>
      </c>
      <c r="J252" s="41"/>
      <c r="K252" s="212"/>
      <c r="L252" s="212"/>
      <c r="M252" s="212">
        <v>4230.26</v>
      </c>
      <c r="N252" s="210">
        <f aca="true" t="shared" si="78" ref="N252:N263">I252*0.05</f>
        <v>226.95300000000003</v>
      </c>
      <c r="O252" s="10">
        <f t="shared" si="72"/>
        <v>8550.83</v>
      </c>
      <c r="P252" s="106"/>
      <c r="Q252" s="39">
        <v>8072</v>
      </c>
      <c r="R252" s="23"/>
      <c r="S252" s="23"/>
      <c r="T252" s="23"/>
      <c r="U252" s="23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23"/>
      <c r="AO252" s="23"/>
      <c r="AP252" s="23"/>
      <c r="AQ252" s="23"/>
      <c r="AR252" s="23"/>
      <c r="AS252" s="23">
        <v>478.83</v>
      </c>
      <c r="AT252" s="23"/>
      <c r="AU252" s="23"/>
      <c r="AV252" s="23"/>
    </row>
    <row r="253" spans="2:48" ht="12.75">
      <c r="B253" s="58">
        <v>20</v>
      </c>
      <c r="C253" s="37"/>
      <c r="D253" s="33"/>
      <c r="E253" s="90"/>
      <c r="F253" s="86"/>
      <c r="G253" s="62" t="s">
        <v>4</v>
      </c>
      <c r="H253" s="42">
        <v>7785.73</v>
      </c>
      <c r="I253" s="20">
        <v>8122.09</v>
      </c>
      <c r="J253" s="42"/>
      <c r="K253" s="213"/>
      <c r="L253" s="213"/>
      <c r="M253" s="213"/>
      <c r="N253" s="210">
        <f t="shared" si="78"/>
        <v>406.10450000000003</v>
      </c>
      <c r="O253" s="10">
        <f aca="true" t="shared" si="79" ref="O253:O263">SUM(Q253:AU253)</f>
        <v>8550.83</v>
      </c>
      <c r="P253" s="101"/>
      <c r="Q253" s="48">
        <v>8072</v>
      </c>
      <c r="R253" s="24"/>
      <c r="S253" s="45"/>
      <c r="T253" s="24"/>
      <c r="U253" s="24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24"/>
      <c r="AO253" s="24"/>
      <c r="AP253" s="24"/>
      <c r="AQ253" s="24"/>
      <c r="AR253" s="24"/>
      <c r="AS253" s="24">
        <v>478.83</v>
      </c>
      <c r="AT253" s="23"/>
      <c r="AU253" s="24"/>
      <c r="AV253" s="24"/>
    </row>
    <row r="254" spans="2:48" ht="12.75">
      <c r="B254" s="58">
        <v>20</v>
      </c>
      <c r="C254" s="37"/>
      <c r="D254" s="33"/>
      <c r="E254" s="88"/>
      <c r="F254" s="86"/>
      <c r="G254" s="8" t="s">
        <v>5</v>
      </c>
      <c r="H254" s="41">
        <v>7847.85</v>
      </c>
      <c r="I254" s="20">
        <v>8191.97</v>
      </c>
      <c r="J254" s="41"/>
      <c r="K254" s="212"/>
      <c r="L254" s="212"/>
      <c r="M254" s="212"/>
      <c r="N254" s="210">
        <f t="shared" si="78"/>
        <v>409.59850000000006</v>
      </c>
      <c r="O254" s="10">
        <f t="shared" si="79"/>
        <v>8673.43</v>
      </c>
      <c r="P254" s="101"/>
      <c r="Q254" s="48">
        <v>8072</v>
      </c>
      <c r="R254" s="24"/>
      <c r="S254" s="45"/>
      <c r="T254" s="24"/>
      <c r="U254" s="24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>
        <v>118</v>
      </c>
      <c r="AH254" s="48"/>
      <c r="AI254" s="48"/>
      <c r="AJ254" s="48"/>
      <c r="AK254" s="48"/>
      <c r="AL254" s="48"/>
      <c r="AM254" s="48"/>
      <c r="AN254" s="24"/>
      <c r="AO254" s="24"/>
      <c r="AP254" s="24"/>
      <c r="AQ254" s="24"/>
      <c r="AR254" s="24"/>
      <c r="AS254" s="24">
        <v>483.43</v>
      </c>
      <c r="AT254" s="23"/>
      <c r="AU254" s="23"/>
      <c r="AV254" s="24"/>
    </row>
    <row r="255" spans="2:48" ht="12.75">
      <c r="B255" s="58">
        <v>20</v>
      </c>
      <c r="C255" s="37"/>
      <c r="D255" s="33"/>
      <c r="E255" s="88"/>
      <c r="F255" s="86"/>
      <c r="G255" s="8" t="s">
        <v>6</v>
      </c>
      <c r="H255" s="41">
        <v>7847.85</v>
      </c>
      <c r="I255" s="20">
        <v>5308.32</v>
      </c>
      <c r="J255" s="41"/>
      <c r="K255" s="212"/>
      <c r="L255" s="212"/>
      <c r="M255" s="212"/>
      <c r="N255" s="210">
        <f t="shared" si="78"/>
        <v>265.416</v>
      </c>
      <c r="O255" s="10">
        <f t="shared" si="79"/>
        <v>6779.43</v>
      </c>
      <c r="P255" s="103"/>
      <c r="Q255" s="48">
        <v>5668</v>
      </c>
      <c r="R255" s="24"/>
      <c r="S255" s="24"/>
      <c r="T255" s="24"/>
      <c r="U255" s="24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24"/>
      <c r="AO255" s="24"/>
      <c r="AP255" s="24"/>
      <c r="AQ255" s="24"/>
      <c r="AR255" s="24"/>
      <c r="AS255" s="24">
        <v>483.43</v>
      </c>
      <c r="AT255" s="24"/>
      <c r="AU255" s="24">
        <v>628</v>
      </c>
      <c r="AV255" s="24"/>
    </row>
    <row r="256" spans="2:48" ht="12.75">
      <c r="B256" s="58">
        <v>20</v>
      </c>
      <c r="C256" s="37"/>
      <c r="D256" s="33"/>
      <c r="E256" s="88"/>
      <c r="F256" s="86"/>
      <c r="G256" s="8" t="s">
        <v>7</v>
      </c>
      <c r="H256" s="41">
        <v>7840.88</v>
      </c>
      <c r="I256" s="20">
        <v>5707.49</v>
      </c>
      <c r="J256" s="41"/>
      <c r="K256" s="212"/>
      <c r="L256" s="212"/>
      <c r="M256" s="212"/>
      <c r="N256" s="210">
        <f t="shared" si="78"/>
        <v>285.3745</v>
      </c>
      <c r="O256" s="10">
        <f t="shared" si="79"/>
        <v>7989.43</v>
      </c>
      <c r="P256" s="181" t="s">
        <v>253</v>
      </c>
      <c r="Q256" s="48">
        <v>5283</v>
      </c>
      <c r="R256" s="24"/>
      <c r="S256" s="24"/>
      <c r="T256" s="24"/>
      <c r="U256" s="24"/>
      <c r="V256" s="48"/>
      <c r="W256" s="48">
        <v>861</v>
      </c>
      <c r="X256" s="48"/>
      <c r="Y256" s="48"/>
      <c r="Z256" s="48"/>
      <c r="AA256" s="48"/>
      <c r="AB256" s="48"/>
      <c r="AC256" s="48"/>
      <c r="AD256" s="48">
        <f>1210+152</f>
        <v>1362</v>
      </c>
      <c r="AE256" s="48"/>
      <c r="AF256" s="48"/>
      <c r="AG256" s="48"/>
      <c r="AH256" s="48"/>
      <c r="AI256" s="48"/>
      <c r="AJ256" s="48"/>
      <c r="AK256" s="48"/>
      <c r="AL256" s="48"/>
      <c r="AM256" s="48"/>
      <c r="AN256" s="24"/>
      <c r="AO256" s="24"/>
      <c r="AP256" s="24"/>
      <c r="AQ256" s="24"/>
      <c r="AR256" s="24"/>
      <c r="AS256" s="24">
        <v>483.43</v>
      </c>
      <c r="AT256" s="23"/>
      <c r="AU256" s="24"/>
      <c r="AV256" s="24"/>
    </row>
    <row r="257" spans="2:48" ht="12.75">
      <c r="B257" s="58">
        <v>20</v>
      </c>
      <c r="C257" s="37"/>
      <c r="D257" s="33"/>
      <c r="E257" s="88"/>
      <c r="F257" s="86"/>
      <c r="G257" s="8" t="s">
        <v>8</v>
      </c>
      <c r="H257" s="41">
        <v>11107.62</v>
      </c>
      <c r="I257" s="20">
        <v>7903.07</v>
      </c>
      <c r="J257" s="41"/>
      <c r="K257" s="212"/>
      <c r="L257" s="212"/>
      <c r="M257" s="212"/>
      <c r="N257" s="210">
        <f t="shared" si="78"/>
        <v>395.1535</v>
      </c>
      <c r="O257" s="10">
        <f t="shared" si="79"/>
        <v>6528.99</v>
      </c>
      <c r="P257" s="101"/>
      <c r="Q257" s="48">
        <v>5283</v>
      </c>
      <c r="R257" s="24"/>
      <c r="S257" s="24"/>
      <c r="T257" s="24"/>
      <c r="U257" s="24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24"/>
      <c r="AO257" s="24"/>
      <c r="AP257" s="24"/>
      <c r="AQ257" s="24"/>
      <c r="AR257" s="24"/>
      <c r="AS257" s="24">
        <v>488.99</v>
      </c>
      <c r="AT257" s="24"/>
      <c r="AU257" s="24">
        <v>757</v>
      </c>
      <c r="AV257" s="24"/>
    </row>
    <row r="258" spans="2:48" ht="12.75">
      <c r="B258" s="58">
        <v>20</v>
      </c>
      <c r="C258" s="37"/>
      <c r="D258" s="33"/>
      <c r="E258" s="88"/>
      <c r="F258" s="86"/>
      <c r="G258" s="8" t="s">
        <v>9</v>
      </c>
      <c r="H258" s="41">
        <v>8768.19</v>
      </c>
      <c r="I258" s="20">
        <v>6177.17</v>
      </c>
      <c r="J258" s="41"/>
      <c r="K258" s="212"/>
      <c r="L258" s="212"/>
      <c r="M258" s="212"/>
      <c r="N258" s="210">
        <f t="shared" si="78"/>
        <v>308.85850000000005</v>
      </c>
      <c r="O258" s="10">
        <f t="shared" si="79"/>
        <v>5884.72</v>
      </c>
      <c r="P258" s="181" t="s">
        <v>265</v>
      </c>
      <c r="Q258" s="24">
        <v>5283</v>
      </c>
      <c r="R258" s="24"/>
      <c r="S258" s="24"/>
      <c r="T258" s="24"/>
      <c r="U258" s="24"/>
      <c r="V258" s="48"/>
      <c r="W258" s="48"/>
      <c r="X258" s="48"/>
      <c r="Y258" s="48"/>
      <c r="Z258" s="48"/>
      <c r="AA258" s="48"/>
      <c r="AB258" s="48"/>
      <c r="AC258" s="48"/>
      <c r="AD258" s="48">
        <v>79</v>
      </c>
      <c r="AE258" s="48"/>
      <c r="AF258" s="48"/>
      <c r="AG258" s="48"/>
      <c r="AH258" s="48"/>
      <c r="AI258" s="48"/>
      <c r="AJ258" s="48"/>
      <c r="AK258" s="48"/>
      <c r="AL258" s="48"/>
      <c r="AM258" s="48"/>
      <c r="AN258" s="24"/>
      <c r="AO258" s="24"/>
      <c r="AP258" s="24"/>
      <c r="AQ258" s="24"/>
      <c r="AR258" s="24"/>
      <c r="AS258" s="24">
        <v>522.72</v>
      </c>
      <c r="AT258" s="24"/>
      <c r="AU258" s="24"/>
      <c r="AV258" s="24"/>
    </row>
    <row r="259" spans="2:48" ht="12.75">
      <c r="B259" s="58">
        <v>20</v>
      </c>
      <c r="C259" s="37"/>
      <c r="D259" s="33"/>
      <c r="E259" s="88"/>
      <c r="F259" s="86"/>
      <c r="G259" s="8" t="s">
        <v>10</v>
      </c>
      <c r="H259" s="41">
        <v>8768.19</v>
      </c>
      <c r="I259" s="20">
        <v>11505.81</v>
      </c>
      <c r="J259" s="41"/>
      <c r="K259" s="212"/>
      <c r="L259" s="212"/>
      <c r="M259" s="212"/>
      <c r="N259" s="210">
        <f t="shared" si="78"/>
        <v>575.2905</v>
      </c>
      <c r="O259" s="10">
        <f t="shared" si="79"/>
        <v>5805.72</v>
      </c>
      <c r="P259" s="101"/>
      <c r="Q259" s="24">
        <v>5283</v>
      </c>
      <c r="R259" s="24"/>
      <c r="S259" s="24"/>
      <c r="T259" s="24"/>
      <c r="U259" s="24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24"/>
      <c r="AO259" s="24"/>
      <c r="AP259" s="24"/>
      <c r="AQ259" s="24"/>
      <c r="AR259" s="24"/>
      <c r="AS259" s="24">
        <v>522.72</v>
      </c>
      <c r="AT259" s="24"/>
      <c r="AU259" s="24"/>
      <c r="AV259" s="24"/>
    </row>
    <row r="260" spans="2:48" ht="12.75">
      <c r="B260" s="58">
        <v>20</v>
      </c>
      <c r="C260" s="37"/>
      <c r="D260" s="33"/>
      <c r="E260" s="88"/>
      <c r="F260" s="86"/>
      <c r="G260" s="8" t="s">
        <v>11</v>
      </c>
      <c r="H260" s="41">
        <v>8768.19</v>
      </c>
      <c r="I260" s="20">
        <v>8910.41</v>
      </c>
      <c r="J260" s="41"/>
      <c r="K260" s="212"/>
      <c r="L260" s="212"/>
      <c r="M260" s="212"/>
      <c r="N260" s="210">
        <f t="shared" si="78"/>
        <v>445.5205</v>
      </c>
      <c r="O260" s="10">
        <f t="shared" si="79"/>
        <v>6433.72</v>
      </c>
      <c r="P260" s="101"/>
      <c r="Q260" s="24">
        <v>5283</v>
      </c>
      <c r="R260" s="24"/>
      <c r="S260" s="24"/>
      <c r="T260" s="24"/>
      <c r="U260" s="24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24"/>
      <c r="AO260" s="24"/>
      <c r="AP260" s="24"/>
      <c r="AQ260" s="24"/>
      <c r="AR260" s="24"/>
      <c r="AS260" s="24">
        <v>522.72</v>
      </c>
      <c r="AT260" s="24"/>
      <c r="AU260" s="24">
        <v>628</v>
      </c>
      <c r="AV260" s="24"/>
    </row>
    <row r="261" spans="2:48" ht="12.75">
      <c r="B261" s="58">
        <v>20</v>
      </c>
      <c r="C261" s="37"/>
      <c r="D261" s="33"/>
      <c r="E261" s="88"/>
      <c r="F261" s="86"/>
      <c r="G261" s="8" t="s">
        <v>12</v>
      </c>
      <c r="H261" s="41">
        <v>13171.08</v>
      </c>
      <c r="I261" s="20">
        <v>13342.71</v>
      </c>
      <c r="J261" s="41"/>
      <c r="K261" s="212"/>
      <c r="L261" s="212"/>
      <c r="M261" s="212"/>
      <c r="N261" s="210">
        <f t="shared" si="78"/>
        <v>667.1355</v>
      </c>
      <c r="O261" s="10">
        <f t="shared" si="79"/>
        <v>7751.72</v>
      </c>
      <c r="P261" s="101" t="s">
        <v>335</v>
      </c>
      <c r="Q261" s="24">
        <v>5283</v>
      </c>
      <c r="R261" s="24"/>
      <c r="S261" s="24"/>
      <c r="T261" s="24">
        <v>182</v>
      </c>
      <c r="U261" s="24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>
        <v>1764</v>
      </c>
      <c r="AH261" s="48"/>
      <c r="AI261" s="48"/>
      <c r="AJ261" s="48"/>
      <c r="AK261" s="48"/>
      <c r="AL261" s="48"/>
      <c r="AM261" s="48"/>
      <c r="AN261" s="24"/>
      <c r="AO261" s="24"/>
      <c r="AP261" s="24"/>
      <c r="AQ261" s="24"/>
      <c r="AR261" s="24"/>
      <c r="AS261" s="24">
        <v>522.72</v>
      </c>
      <c r="AT261" s="24"/>
      <c r="AU261" s="24"/>
      <c r="AV261" s="24"/>
    </row>
    <row r="262" spans="2:48" ht="12.75">
      <c r="B262" s="58">
        <v>20</v>
      </c>
      <c r="C262" s="37"/>
      <c r="D262" s="33"/>
      <c r="E262" s="88"/>
      <c r="F262" s="86"/>
      <c r="G262" s="8" t="s">
        <v>13</v>
      </c>
      <c r="H262" s="41">
        <v>10993.99</v>
      </c>
      <c r="I262" s="20">
        <v>14494.54</v>
      </c>
      <c r="J262" s="41"/>
      <c r="K262" s="212"/>
      <c r="L262" s="212"/>
      <c r="M262" s="212"/>
      <c r="N262" s="210">
        <f t="shared" si="78"/>
        <v>724.7270000000001</v>
      </c>
      <c r="O262" s="10">
        <f t="shared" si="79"/>
        <v>5805.72</v>
      </c>
      <c r="P262" s="101"/>
      <c r="Q262" s="24">
        <v>5283</v>
      </c>
      <c r="R262" s="24"/>
      <c r="S262" s="24"/>
      <c r="T262" s="24"/>
      <c r="U262" s="24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24"/>
      <c r="AO262" s="24"/>
      <c r="AP262" s="24"/>
      <c r="AQ262" s="24"/>
      <c r="AR262" s="24"/>
      <c r="AS262" s="24">
        <v>522.72</v>
      </c>
      <c r="AT262" s="24"/>
      <c r="AU262" s="24"/>
      <c r="AV262" s="24"/>
    </row>
    <row r="263" spans="2:48" ht="13.5" thickBot="1">
      <c r="B263" s="150">
        <v>20</v>
      </c>
      <c r="C263" s="38"/>
      <c r="D263" s="35"/>
      <c r="E263" s="125"/>
      <c r="F263" s="87"/>
      <c r="G263" s="12" t="s">
        <v>14</v>
      </c>
      <c r="H263" s="43">
        <v>10990.92</v>
      </c>
      <c r="I263" s="21">
        <v>14280.99</v>
      </c>
      <c r="J263" s="43"/>
      <c r="K263" s="214"/>
      <c r="L263" s="214"/>
      <c r="M263" s="214"/>
      <c r="N263" s="210">
        <f t="shared" si="78"/>
        <v>714.0495000000001</v>
      </c>
      <c r="O263" s="10">
        <f t="shared" si="79"/>
        <v>6142.57</v>
      </c>
      <c r="P263" s="104"/>
      <c r="Q263" s="25">
        <v>4863</v>
      </c>
      <c r="R263" s="25"/>
      <c r="S263" s="25"/>
      <c r="T263" s="25"/>
      <c r="U263" s="25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25"/>
      <c r="AO263" s="25"/>
      <c r="AP263" s="25"/>
      <c r="AQ263" s="25"/>
      <c r="AR263" s="25"/>
      <c r="AS263" s="25">
        <v>522.57</v>
      </c>
      <c r="AT263" s="25"/>
      <c r="AU263" s="25">
        <v>757</v>
      </c>
      <c r="AV263" s="128">
        <f>AV251+I251+J251-K251-L251-M251-N251-O251</f>
        <v>13826.298500000019</v>
      </c>
    </row>
    <row r="264" spans="2:48" ht="14.25" thickBot="1" thickTop="1">
      <c r="B264" s="148">
        <v>21</v>
      </c>
      <c r="C264" s="73" t="s">
        <v>17</v>
      </c>
      <c r="D264" s="67">
        <v>58</v>
      </c>
      <c r="E264" s="145" t="s">
        <v>52</v>
      </c>
      <c r="F264" s="84">
        <v>1232.1</v>
      </c>
      <c r="G264" s="50"/>
      <c r="H264" s="69">
        <v>109402.75000000003</v>
      </c>
      <c r="I264" s="69">
        <v>106462.04000000001</v>
      </c>
      <c r="J264" s="69">
        <f>SUM(J265:J276)</f>
        <v>0</v>
      </c>
      <c r="K264" s="211">
        <f>SUM(K265:K276)</f>
        <v>0</v>
      </c>
      <c r="L264" s="211">
        <f>SUM(L265:L276)</f>
        <v>0</v>
      </c>
      <c r="M264" s="211">
        <f>SUM(M265:M276)</f>
        <v>4228.02</v>
      </c>
      <c r="N264" s="215">
        <f>SUM(N265:N276)</f>
        <v>5323.102000000001</v>
      </c>
      <c r="O264" s="16">
        <f>SUM(Q264:AU264)</f>
        <v>89717.21</v>
      </c>
      <c r="P264" s="99"/>
      <c r="Q264" s="11">
        <f>SUM(Q265:Q276)</f>
        <v>71728</v>
      </c>
      <c r="R264" s="11">
        <f>SUM(R265:R276)</f>
        <v>0</v>
      </c>
      <c r="S264" s="11">
        <f>SUM(S265:S276)</f>
        <v>0</v>
      </c>
      <c r="T264" s="11">
        <f>SUM(T265:T276)</f>
        <v>0</v>
      </c>
      <c r="U264" s="11">
        <f>SUM(U265:U276)</f>
        <v>0</v>
      </c>
      <c r="V264" s="50">
        <f aca="true" t="shared" si="80" ref="V264:AM264">SUM(V265:V276)</f>
        <v>0</v>
      </c>
      <c r="W264" s="50">
        <f t="shared" si="80"/>
        <v>643</v>
      </c>
      <c r="X264" s="50">
        <f t="shared" si="80"/>
        <v>0</v>
      </c>
      <c r="Y264" s="50">
        <f t="shared" si="80"/>
        <v>0</v>
      </c>
      <c r="Z264" s="50">
        <f>SUM(Z265:Z276)</f>
        <v>0</v>
      </c>
      <c r="AA264" s="50">
        <f>SUM(AA265:AA276)</f>
        <v>0</v>
      </c>
      <c r="AB264" s="50">
        <f t="shared" si="80"/>
        <v>0</v>
      </c>
      <c r="AC264" s="50">
        <f t="shared" si="80"/>
        <v>819</v>
      </c>
      <c r="AD264" s="50">
        <f t="shared" si="80"/>
        <v>1263</v>
      </c>
      <c r="AE264" s="50">
        <f t="shared" si="80"/>
        <v>0</v>
      </c>
      <c r="AF264" s="50">
        <f t="shared" si="80"/>
        <v>0</v>
      </c>
      <c r="AG264" s="50">
        <f t="shared" si="80"/>
        <v>0</v>
      </c>
      <c r="AH264" s="50">
        <f t="shared" si="80"/>
        <v>0</v>
      </c>
      <c r="AI264" s="50">
        <f>SUM(AI265:AI276)</f>
        <v>6495</v>
      </c>
      <c r="AJ264" s="50">
        <f>SUM(AJ265:AJ276)</f>
        <v>0</v>
      </c>
      <c r="AK264" s="50">
        <f>SUM(AK265:AK276)</f>
        <v>0</v>
      </c>
      <c r="AL264" s="50">
        <f>SUM(AL265:AL276)</f>
        <v>0</v>
      </c>
      <c r="AM264" s="50">
        <f t="shared" si="80"/>
        <v>0</v>
      </c>
      <c r="AN264" s="11">
        <f aca="true" t="shared" si="81" ref="AN264:AU264">SUM(AN265:AN276)</f>
        <v>0</v>
      </c>
      <c r="AO264" s="11">
        <f t="shared" si="81"/>
        <v>0</v>
      </c>
      <c r="AP264" s="11">
        <f t="shared" si="81"/>
        <v>0</v>
      </c>
      <c r="AQ264" s="11">
        <f>SUM(AQ265:AQ276)</f>
        <v>0</v>
      </c>
      <c r="AR264" s="11">
        <f>SUM(AR265:AR276)</f>
        <v>0</v>
      </c>
      <c r="AS264" s="11">
        <f t="shared" si="81"/>
        <v>5999.210000000002</v>
      </c>
      <c r="AT264" s="11">
        <f t="shared" si="81"/>
        <v>0</v>
      </c>
      <c r="AU264" s="11">
        <f t="shared" si="81"/>
        <v>2770</v>
      </c>
      <c r="AV264" s="127">
        <v>-998.16</v>
      </c>
    </row>
    <row r="265" spans="2:48" ht="13.5" thickTop="1">
      <c r="B265" s="149">
        <v>21</v>
      </c>
      <c r="C265" s="36" t="s">
        <v>74</v>
      </c>
      <c r="D265" s="31"/>
      <c r="E265" s="89"/>
      <c r="F265" s="85"/>
      <c r="G265" s="61" t="s">
        <v>3</v>
      </c>
      <c r="H265" s="41">
        <v>7791.63</v>
      </c>
      <c r="I265" s="19">
        <v>6460.16</v>
      </c>
      <c r="J265" s="41"/>
      <c r="K265" s="212"/>
      <c r="L265" s="212"/>
      <c r="M265" s="212">
        <v>4228.02</v>
      </c>
      <c r="N265" s="210">
        <f aca="true" t="shared" si="82" ref="N265:N276">I265*0.05</f>
        <v>323.00800000000004</v>
      </c>
      <c r="O265" s="10">
        <f>SUM(Q265:AU265)</f>
        <v>8551.98</v>
      </c>
      <c r="P265" s="106"/>
      <c r="Q265" s="39">
        <v>8072</v>
      </c>
      <c r="R265" s="23"/>
      <c r="S265" s="23"/>
      <c r="T265" s="23"/>
      <c r="U265" s="23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23"/>
      <c r="AO265" s="23"/>
      <c r="AP265" s="23"/>
      <c r="AQ265" s="23"/>
      <c r="AR265" s="23"/>
      <c r="AS265" s="23">
        <v>479.98</v>
      </c>
      <c r="AT265" s="23"/>
      <c r="AU265" s="23"/>
      <c r="AV265" s="23"/>
    </row>
    <row r="266" spans="2:48" ht="12.75">
      <c r="B266" s="58">
        <v>21</v>
      </c>
      <c r="C266" s="37"/>
      <c r="D266" s="33"/>
      <c r="E266" s="90"/>
      <c r="F266" s="86"/>
      <c r="G266" s="62" t="s">
        <v>4</v>
      </c>
      <c r="H266" s="42">
        <v>7791.63</v>
      </c>
      <c r="I266" s="20">
        <v>7824.96</v>
      </c>
      <c r="J266" s="42"/>
      <c r="K266" s="213"/>
      <c r="L266" s="213"/>
      <c r="M266" s="213"/>
      <c r="N266" s="210">
        <f t="shared" si="82"/>
        <v>391.24800000000005</v>
      </c>
      <c r="O266" s="10">
        <f aca="true" t="shared" si="83" ref="O266:O276">SUM(Q266:AU266)</f>
        <v>8551.98</v>
      </c>
      <c r="P266" s="101"/>
      <c r="Q266" s="48">
        <v>8072</v>
      </c>
      <c r="R266" s="24"/>
      <c r="S266" s="45"/>
      <c r="T266" s="24"/>
      <c r="U266" s="24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24"/>
      <c r="AO266" s="24"/>
      <c r="AP266" s="24"/>
      <c r="AQ266" s="24"/>
      <c r="AR266" s="24"/>
      <c r="AS266" s="24">
        <v>479.98</v>
      </c>
      <c r="AT266" s="23"/>
      <c r="AU266" s="24"/>
      <c r="AV266" s="24"/>
    </row>
    <row r="267" spans="2:48" ht="12.75">
      <c r="B267" s="58">
        <v>21</v>
      </c>
      <c r="C267" s="37"/>
      <c r="D267" s="33"/>
      <c r="E267" s="88"/>
      <c r="F267" s="86"/>
      <c r="G267" s="8" t="s">
        <v>5</v>
      </c>
      <c r="H267" s="41">
        <v>7791.63</v>
      </c>
      <c r="I267" s="20">
        <v>6289.81</v>
      </c>
      <c r="J267" s="41"/>
      <c r="K267" s="212"/>
      <c r="L267" s="212"/>
      <c r="M267" s="212"/>
      <c r="N267" s="210">
        <f t="shared" si="82"/>
        <v>314.49050000000005</v>
      </c>
      <c r="O267" s="10">
        <f t="shared" si="83"/>
        <v>8551.98</v>
      </c>
      <c r="P267" s="101"/>
      <c r="Q267" s="48">
        <v>8072</v>
      </c>
      <c r="R267" s="24"/>
      <c r="S267" s="45"/>
      <c r="T267" s="24"/>
      <c r="U267" s="24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24"/>
      <c r="AO267" s="24"/>
      <c r="AP267" s="24"/>
      <c r="AQ267" s="24"/>
      <c r="AR267" s="24"/>
      <c r="AS267" s="24">
        <v>479.98</v>
      </c>
      <c r="AT267" s="23"/>
      <c r="AU267" s="23"/>
      <c r="AV267" s="24"/>
    </row>
    <row r="268" spans="2:48" ht="12.75">
      <c r="B268" s="58">
        <v>21</v>
      </c>
      <c r="C268" s="37"/>
      <c r="D268" s="33"/>
      <c r="E268" s="88"/>
      <c r="F268" s="86"/>
      <c r="G268" s="8" t="s">
        <v>6</v>
      </c>
      <c r="H268" s="41">
        <v>7791.63</v>
      </c>
      <c r="I268" s="20">
        <v>6300.26</v>
      </c>
      <c r="J268" s="41"/>
      <c r="K268" s="212"/>
      <c r="L268" s="212"/>
      <c r="M268" s="212"/>
      <c r="N268" s="210">
        <f t="shared" si="82"/>
        <v>315.01300000000003</v>
      </c>
      <c r="O268" s="10">
        <f t="shared" si="83"/>
        <v>6775.98</v>
      </c>
      <c r="P268" s="182"/>
      <c r="Q268" s="48">
        <v>5668</v>
      </c>
      <c r="R268" s="24"/>
      <c r="S268" s="24"/>
      <c r="T268" s="24"/>
      <c r="U268" s="24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24"/>
      <c r="AO268" s="24"/>
      <c r="AP268" s="24"/>
      <c r="AQ268" s="24"/>
      <c r="AR268" s="24"/>
      <c r="AS268" s="24">
        <v>479.98</v>
      </c>
      <c r="AT268" s="24"/>
      <c r="AU268" s="24">
        <v>628</v>
      </c>
      <c r="AV268" s="24"/>
    </row>
    <row r="269" spans="2:48" ht="12.75">
      <c r="B269" s="58">
        <v>21</v>
      </c>
      <c r="C269" s="37"/>
      <c r="D269" s="33"/>
      <c r="E269" s="88"/>
      <c r="F269" s="86"/>
      <c r="G269" s="8" t="s">
        <v>7</v>
      </c>
      <c r="H269" s="41">
        <v>7784.66</v>
      </c>
      <c r="I269" s="20">
        <v>9815.04</v>
      </c>
      <c r="J269" s="41"/>
      <c r="K269" s="212"/>
      <c r="L269" s="212"/>
      <c r="M269" s="212"/>
      <c r="N269" s="210">
        <f t="shared" si="82"/>
        <v>490.75200000000007</v>
      </c>
      <c r="O269" s="10">
        <f t="shared" si="83"/>
        <v>7615.98</v>
      </c>
      <c r="P269" s="101" t="s">
        <v>162</v>
      </c>
      <c r="Q269" s="48">
        <v>5283</v>
      </c>
      <c r="R269" s="24"/>
      <c r="S269" s="24"/>
      <c r="T269" s="24"/>
      <c r="U269" s="24"/>
      <c r="V269" s="48"/>
      <c r="W269" s="48">
        <v>643</v>
      </c>
      <c r="X269" s="48"/>
      <c r="Y269" s="48"/>
      <c r="Z269" s="48"/>
      <c r="AA269" s="48"/>
      <c r="AB269" s="48"/>
      <c r="AC269" s="48"/>
      <c r="AD269" s="48">
        <v>1210</v>
      </c>
      <c r="AE269" s="48"/>
      <c r="AF269" s="48"/>
      <c r="AG269" s="48"/>
      <c r="AH269" s="48"/>
      <c r="AI269" s="48"/>
      <c r="AJ269" s="48"/>
      <c r="AK269" s="48"/>
      <c r="AL269" s="48"/>
      <c r="AM269" s="48"/>
      <c r="AN269" s="24"/>
      <c r="AO269" s="24"/>
      <c r="AP269" s="24"/>
      <c r="AQ269" s="24"/>
      <c r="AR269" s="24"/>
      <c r="AS269" s="24">
        <v>479.98</v>
      </c>
      <c r="AT269" s="23"/>
      <c r="AU269" s="24"/>
      <c r="AV269" s="24"/>
    </row>
    <row r="270" spans="2:48" ht="12.75">
      <c r="B270" s="58">
        <v>21</v>
      </c>
      <c r="C270" s="37"/>
      <c r="D270" s="33"/>
      <c r="E270" s="88"/>
      <c r="F270" s="86"/>
      <c r="G270" s="8" t="s">
        <v>8</v>
      </c>
      <c r="H270" s="41">
        <v>9380.53</v>
      </c>
      <c r="I270" s="20">
        <v>7517.71</v>
      </c>
      <c r="J270" s="41"/>
      <c r="K270" s="212"/>
      <c r="L270" s="212"/>
      <c r="M270" s="212"/>
      <c r="N270" s="210">
        <f t="shared" si="82"/>
        <v>375.88550000000004</v>
      </c>
      <c r="O270" s="10">
        <f t="shared" si="83"/>
        <v>6525.49</v>
      </c>
      <c r="P270" s="181"/>
      <c r="Q270" s="48">
        <v>5283</v>
      </c>
      <c r="R270" s="24"/>
      <c r="S270" s="24"/>
      <c r="T270" s="24"/>
      <c r="U270" s="24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24"/>
      <c r="AO270" s="24"/>
      <c r="AP270" s="24"/>
      <c r="AQ270" s="24"/>
      <c r="AR270" s="24"/>
      <c r="AS270" s="24">
        <v>485.49</v>
      </c>
      <c r="AT270" s="24"/>
      <c r="AU270" s="24">
        <v>757</v>
      </c>
      <c r="AV270" s="24"/>
    </row>
    <row r="271" spans="2:48" ht="12.75">
      <c r="B271" s="58">
        <v>21</v>
      </c>
      <c r="C271" s="37"/>
      <c r="D271" s="33"/>
      <c r="E271" s="88"/>
      <c r="F271" s="86"/>
      <c r="G271" s="8" t="s">
        <v>9</v>
      </c>
      <c r="H271" s="41">
        <v>8705.32</v>
      </c>
      <c r="I271" s="20">
        <v>10343.63</v>
      </c>
      <c r="J271" s="41"/>
      <c r="K271" s="212"/>
      <c r="L271" s="212"/>
      <c r="M271" s="212"/>
      <c r="N271" s="210">
        <f t="shared" si="82"/>
        <v>517.1815</v>
      </c>
      <c r="O271" s="10">
        <f t="shared" si="83"/>
        <v>5854.97</v>
      </c>
      <c r="P271" s="101" t="s">
        <v>264</v>
      </c>
      <c r="Q271" s="24">
        <v>5283</v>
      </c>
      <c r="R271" s="24"/>
      <c r="S271" s="24"/>
      <c r="T271" s="24"/>
      <c r="U271" s="24"/>
      <c r="V271" s="48"/>
      <c r="W271" s="48"/>
      <c r="X271" s="48"/>
      <c r="Y271" s="48"/>
      <c r="Z271" s="48"/>
      <c r="AA271" s="48"/>
      <c r="AB271" s="48"/>
      <c r="AC271" s="48"/>
      <c r="AD271" s="48">
        <v>53</v>
      </c>
      <c r="AE271" s="48"/>
      <c r="AF271" s="48"/>
      <c r="AG271" s="48"/>
      <c r="AH271" s="48"/>
      <c r="AI271" s="48"/>
      <c r="AJ271" s="48"/>
      <c r="AK271" s="48"/>
      <c r="AL271" s="48"/>
      <c r="AM271" s="48"/>
      <c r="AN271" s="24"/>
      <c r="AO271" s="24"/>
      <c r="AP271" s="24"/>
      <c r="AQ271" s="24"/>
      <c r="AR271" s="24"/>
      <c r="AS271" s="24">
        <v>518.97</v>
      </c>
      <c r="AT271" s="24"/>
      <c r="AU271" s="24"/>
      <c r="AV271" s="24"/>
    </row>
    <row r="272" spans="2:48" ht="12.75">
      <c r="B272" s="58">
        <v>21</v>
      </c>
      <c r="C272" s="37"/>
      <c r="D272" s="33"/>
      <c r="E272" s="88"/>
      <c r="F272" s="86"/>
      <c r="G272" s="8" t="s">
        <v>10</v>
      </c>
      <c r="H272" s="41">
        <v>8705.32</v>
      </c>
      <c r="I272" s="20">
        <v>6994.26</v>
      </c>
      <c r="J272" s="41"/>
      <c r="K272" s="212"/>
      <c r="L272" s="212"/>
      <c r="M272" s="212"/>
      <c r="N272" s="210">
        <f t="shared" si="82"/>
        <v>349.713</v>
      </c>
      <c r="O272" s="10">
        <f t="shared" si="83"/>
        <v>5801.97</v>
      </c>
      <c r="P272" s="101"/>
      <c r="Q272" s="24">
        <v>5283</v>
      </c>
      <c r="R272" s="24"/>
      <c r="S272" s="24"/>
      <c r="T272" s="24"/>
      <c r="U272" s="24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24"/>
      <c r="AO272" s="24"/>
      <c r="AP272" s="24"/>
      <c r="AQ272" s="24"/>
      <c r="AR272" s="24"/>
      <c r="AS272" s="24">
        <v>518.97</v>
      </c>
      <c r="AT272" s="24"/>
      <c r="AU272" s="24"/>
      <c r="AV272" s="24"/>
    </row>
    <row r="273" spans="2:48" ht="12.75">
      <c r="B273" s="58">
        <v>21</v>
      </c>
      <c r="C273" s="37"/>
      <c r="D273" s="33"/>
      <c r="E273" s="88"/>
      <c r="F273" s="86"/>
      <c r="G273" s="8" t="s">
        <v>11</v>
      </c>
      <c r="H273" s="41">
        <v>8705.32</v>
      </c>
      <c r="I273" s="20">
        <v>10579.99</v>
      </c>
      <c r="J273" s="41"/>
      <c r="K273" s="212"/>
      <c r="L273" s="212"/>
      <c r="M273" s="212"/>
      <c r="N273" s="210">
        <f t="shared" si="82"/>
        <v>528.9995</v>
      </c>
      <c r="O273" s="10">
        <f t="shared" si="83"/>
        <v>6429.97</v>
      </c>
      <c r="P273" s="101"/>
      <c r="Q273" s="24">
        <v>5283</v>
      </c>
      <c r="R273" s="24"/>
      <c r="S273" s="24"/>
      <c r="T273" s="24"/>
      <c r="U273" s="24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24"/>
      <c r="AO273" s="24"/>
      <c r="AP273" s="24"/>
      <c r="AQ273" s="24"/>
      <c r="AR273" s="24"/>
      <c r="AS273" s="24">
        <v>518.97</v>
      </c>
      <c r="AT273" s="24"/>
      <c r="AU273" s="24">
        <v>628</v>
      </c>
      <c r="AV273" s="24"/>
    </row>
    <row r="274" spans="2:48" ht="12.75">
      <c r="B274" s="58">
        <v>21</v>
      </c>
      <c r="C274" s="37"/>
      <c r="D274" s="33"/>
      <c r="E274" s="88"/>
      <c r="F274" s="86"/>
      <c r="G274" s="8" t="s">
        <v>12</v>
      </c>
      <c r="H274" s="41">
        <v>13124.88</v>
      </c>
      <c r="I274" s="20">
        <v>13993</v>
      </c>
      <c r="J274" s="41"/>
      <c r="K274" s="212"/>
      <c r="L274" s="212"/>
      <c r="M274" s="212"/>
      <c r="N274" s="210">
        <f t="shared" si="82"/>
        <v>699.6500000000001</v>
      </c>
      <c r="O274" s="10">
        <f t="shared" si="83"/>
        <v>5801.97</v>
      </c>
      <c r="P274" s="101"/>
      <c r="Q274" s="24">
        <v>5283</v>
      </c>
      <c r="R274" s="24"/>
      <c r="S274" s="24"/>
      <c r="T274" s="24"/>
      <c r="U274" s="24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24"/>
      <c r="AO274" s="24"/>
      <c r="AP274" s="24"/>
      <c r="AQ274" s="24"/>
      <c r="AR274" s="24"/>
      <c r="AS274" s="24">
        <v>518.97</v>
      </c>
      <c r="AT274" s="24"/>
      <c r="AU274" s="24"/>
      <c r="AV274" s="24"/>
    </row>
    <row r="275" spans="2:48" ht="12.75">
      <c r="B275" s="58">
        <v>21</v>
      </c>
      <c r="C275" s="37"/>
      <c r="D275" s="33"/>
      <c r="E275" s="88"/>
      <c r="F275" s="86"/>
      <c r="G275" s="8" t="s">
        <v>13</v>
      </c>
      <c r="H275" s="41">
        <v>10915.1</v>
      </c>
      <c r="I275" s="20">
        <v>7545.36</v>
      </c>
      <c r="J275" s="41"/>
      <c r="K275" s="212"/>
      <c r="L275" s="212"/>
      <c r="M275" s="212"/>
      <c r="N275" s="210">
        <f t="shared" si="82"/>
        <v>377.26800000000003</v>
      </c>
      <c r="O275" s="10">
        <f t="shared" si="83"/>
        <v>9985.97</v>
      </c>
      <c r="P275" s="101"/>
      <c r="Q275" s="24">
        <v>5283</v>
      </c>
      <c r="R275" s="24"/>
      <c r="S275" s="24"/>
      <c r="T275" s="24"/>
      <c r="U275" s="24"/>
      <c r="V275" s="48"/>
      <c r="W275" s="48"/>
      <c r="X275" s="48"/>
      <c r="Y275" s="48"/>
      <c r="Z275" s="48"/>
      <c r="AA275" s="48"/>
      <c r="AB275" s="48"/>
      <c r="AC275" s="48">
        <v>819</v>
      </c>
      <c r="AD275" s="48"/>
      <c r="AE275" s="48"/>
      <c r="AF275" s="48"/>
      <c r="AG275" s="48"/>
      <c r="AH275" s="48"/>
      <c r="AI275" s="48">
        <v>3365</v>
      </c>
      <c r="AJ275" s="48"/>
      <c r="AK275" s="48"/>
      <c r="AL275" s="48"/>
      <c r="AM275" s="48"/>
      <c r="AN275" s="24"/>
      <c r="AO275" s="24"/>
      <c r="AP275" s="24"/>
      <c r="AQ275" s="24"/>
      <c r="AR275" s="24"/>
      <c r="AS275" s="24">
        <v>518.97</v>
      </c>
      <c r="AT275" s="24"/>
      <c r="AU275" s="24"/>
      <c r="AV275" s="24"/>
    </row>
    <row r="276" spans="2:48" ht="13.5" thickBot="1">
      <c r="B276" s="150">
        <v>21</v>
      </c>
      <c r="C276" s="38"/>
      <c r="D276" s="35"/>
      <c r="E276" s="125"/>
      <c r="F276" s="87"/>
      <c r="G276" s="12" t="s">
        <v>14</v>
      </c>
      <c r="H276" s="41">
        <v>10915.1</v>
      </c>
      <c r="I276" s="21">
        <v>12797.86</v>
      </c>
      <c r="J276" s="41"/>
      <c r="K276" s="212"/>
      <c r="L276" s="212"/>
      <c r="M276" s="212"/>
      <c r="N276" s="210">
        <f t="shared" si="82"/>
        <v>639.893</v>
      </c>
      <c r="O276" s="10">
        <f t="shared" si="83"/>
        <v>9268.97</v>
      </c>
      <c r="P276" s="104"/>
      <c r="Q276" s="25">
        <v>4863</v>
      </c>
      <c r="R276" s="25"/>
      <c r="S276" s="25"/>
      <c r="T276" s="25"/>
      <c r="U276" s="25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>
        <v>3130</v>
      </c>
      <c r="AJ276" s="49"/>
      <c r="AK276" s="49"/>
      <c r="AL276" s="49"/>
      <c r="AM276" s="49"/>
      <c r="AN276" s="25"/>
      <c r="AO276" s="25"/>
      <c r="AP276" s="25"/>
      <c r="AQ276" s="25"/>
      <c r="AR276" s="25"/>
      <c r="AS276" s="25">
        <v>518.97</v>
      </c>
      <c r="AT276" s="25"/>
      <c r="AU276" s="25">
        <v>757</v>
      </c>
      <c r="AV276" s="128">
        <f>AV264+I264+J264-K264-L264-M264-N264-O264</f>
        <v>6195.547999999995</v>
      </c>
    </row>
    <row r="277" spans="2:48" ht="14.25" thickBot="1" thickTop="1">
      <c r="B277" s="151">
        <v>22</v>
      </c>
      <c r="C277" s="147" t="s">
        <v>65</v>
      </c>
      <c r="D277" s="67">
        <v>22</v>
      </c>
      <c r="E277" s="145" t="s">
        <v>106</v>
      </c>
      <c r="F277" s="84">
        <v>2975.6</v>
      </c>
      <c r="G277" s="50"/>
      <c r="H277" s="69">
        <v>219534.30999999997</v>
      </c>
      <c r="I277" s="69">
        <v>215229.52</v>
      </c>
      <c r="J277" s="69">
        <f>SUM(J278:J289)</f>
        <v>0</v>
      </c>
      <c r="K277" s="211">
        <f>SUM(K278:K289)</f>
        <v>0</v>
      </c>
      <c r="L277" s="211">
        <f>SUM(L278:L289)</f>
        <v>0</v>
      </c>
      <c r="M277" s="211">
        <f>SUM(M278:M289)</f>
        <v>9744.91</v>
      </c>
      <c r="N277" s="215">
        <f>SUM(N278:N289)</f>
        <v>10761.476</v>
      </c>
      <c r="O277" s="16">
        <f>SUM(Q277:AU277)</f>
        <v>126844.2</v>
      </c>
      <c r="P277" s="99"/>
      <c r="Q277" s="11">
        <f>SUM(Q278:Q289)</f>
        <v>100421</v>
      </c>
      <c r="R277" s="11">
        <f>SUM(R278:R289)</f>
        <v>0</v>
      </c>
      <c r="S277" s="11">
        <f>SUM(S278:S289)</f>
        <v>3371</v>
      </c>
      <c r="T277" s="11">
        <f>SUM(T278:T289)</f>
        <v>298</v>
      </c>
      <c r="U277" s="11">
        <f>SUM(U278:U289)</f>
        <v>3893</v>
      </c>
      <c r="V277" s="50">
        <f aca="true" t="shared" si="84" ref="V277:AM277">SUM(V278:V289)</f>
        <v>0</v>
      </c>
      <c r="W277" s="50">
        <f t="shared" si="84"/>
        <v>211</v>
      </c>
      <c r="X277" s="50">
        <f t="shared" si="84"/>
        <v>519</v>
      </c>
      <c r="Y277" s="50">
        <f t="shared" si="84"/>
        <v>0</v>
      </c>
      <c r="Z277" s="50">
        <f>SUM(Z278:Z289)</f>
        <v>0</v>
      </c>
      <c r="AA277" s="50">
        <f>SUM(AA278:AA289)</f>
        <v>0</v>
      </c>
      <c r="AB277" s="50">
        <f t="shared" si="84"/>
        <v>0</v>
      </c>
      <c r="AC277" s="50">
        <f t="shared" si="84"/>
        <v>0</v>
      </c>
      <c r="AD277" s="50">
        <f t="shared" si="84"/>
        <v>3849</v>
      </c>
      <c r="AE277" s="50">
        <f t="shared" si="84"/>
        <v>0</v>
      </c>
      <c r="AF277" s="50">
        <f t="shared" si="84"/>
        <v>0</v>
      </c>
      <c r="AG277" s="50">
        <f t="shared" si="84"/>
        <v>0</v>
      </c>
      <c r="AH277" s="50">
        <f t="shared" si="84"/>
        <v>0</v>
      </c>
      <c r="AI277" s="50">
        <f>SUM(AI278:AI289)</f>
        <v>0</v>
      </c>
      <c r="AJ277" s="50">
        <f>SUM(AJ278:AJ289)</f>
        <v>0</v>
      </c>
      <c r="AK277" s="50">
        <f>SUM(AK278:AK289)</f>
        <v>0</v>
      </c>
      <c r="AL277" s="50">
        <f>SUM(AL278:AL289)</f>
        <v>0</v>
      </c>
      <c r="AM277" s="50">
        <f t="shared" si="84"/>
        <v>0</v>
      </c>
      <c r="AN277" s="11">
        <f aca="true" t="shared" si="85" ref="AN277:AU277">SUM(AN278:AN289)</f>
        <v>0</v>
      </c>
      <c r="AO277" s="11">
        <f t="shared" si="85"/>
        <v>2047.5</v>
      </c>
      <c r="AP277" s="11">
        <f t="shared" si="85"/>
        <v>0</v>
      </c>
      <c r="AQ277" s="11">
        <f>SUM(AQ278:AQ289)</f>
        <v>0</v>
      </c>
      <c r="AR277" s="11">
        <f>SUM(AR278:AR289)</f>
        <v>0</v>
      </c>
      <c r="AS277" s="11">
        <f t="shared" si="85"/>
        <v>10712.699999999999</v>
      </c>
      <c r="AT277" s="11">
        <f t="shared" si="85"/>
        <v>0</v>
      </c>
      <c r="AU277" s="11">
        <f t="shared" si="85"/>
        <v>1522</v>
      </c>
      <c r="AV277" s="127">
        <v>23914.27</v>
      </c>
    </row>
    <row r="278" spans="2:48" ht="13.5" thickTop="1">
      <c r="B278" s="152">
        <v>22</v>
      </c>
      <c r="C278" s="36" t="s">
        <v>67</v>
      </c>
      <c r="D278" s="31"/>
      <c r="E278" s="89"/>
      <c r="F278" s="85"/>
      <c r="G278" s="61" t="s">
        <v>3</v>
      </c>
      <c r="H278" s="41">
        <v>17319.12</v>
      </c>
      <c r="I278" s="19">
        <v>11799.2</v>
      </c>
      <c r="J278" s="41"/>
      <c r="K278" s="212"/>
      <c r="L278" s="212"/>
      <c r="M278" s="212">
        <v>9744.91</v>
      </c>
      <c r="N278" s="210">
        <f aca="true" t="shared" si="86" ref="N278:N289">I278*0.05</f>
        <v>589.96</v>
      </c>
      <c r="O278" s="10">
        <f>SUM(Q278:AU278)</f>
        <v>13090.98</v>
      </c>
      <c r="P278" s="106" t="s">
        <v>205</v>
      </c>
      <c r="Q278" s="39">
        <v>10848</v>
      </c>
      <c r="R278" s="23"/>
      <c r="S278" s="23"/>
      <c r="T278" s="23"/>
      <c r="U278" s="23"/>
      <c r="V278" s="39"/>
      <c r="W278" s="39"/>
      <c r="X278" s="39"/>
      <c r="Y278" s="39"/>
      <c r="Z278" s="39"/>
      <c r="AA278" s="39"/>
      <c r="AB278" s="39"/>
      <c r="AC278" s="23"/>
      <c r="AD278" s="23">
        <v>1380</v>
      </c>
      <c r="AE278" s="39"/>
      <c r="AF278" s="39"/>
      <c r="AG278" s="39"/>
      <c r="AH278" s="39"/>
      <c r="AI278" s="39"/>
      <c r="AJ278" s="39"/>
      <c r="AK278" s="39"/>
      <c r="AL278" s="39"/>
      <c r="AM278" s="39"/>
      <c r="AN278" s="23"/>
      <c r="AO278" s="23"/>
      <c r="AP278" s="23"/>
      <c r="AQ278" s="23"/>
      <c r="AR278" s="23"/>
      <c r="AS278" s="23">
        <v>862.98</v>
      </c>
      <c r="AT278" s="23"/>
      <c r="AU278" s="23"/>
      <c r="AV278" s="23"/>
    </row>
    <row r="279" spans="2:48" ht="12.75">
      <c r="B279" s="152">
        <v>22</v>
      </c>
      <c r="C279" s="37"/>
      <c r="D279" s="33"/>
      <c r="E279" s="90"/>
      <c r="F279" s="86"/>
      <c r="G279" s="62" t="s">
        <v>4</v>
      </c>
      <c r="H279" s="42">
        <v>17319.12</v>
      </c>
      <c r="I279" s="20">
        <v>17937.08</v>
      </c>
      <c r="J279" s="42"/>
      <c r="K279" s="213"/>
      <c r="L279" s="213"/>
      <c r="M279" s="213"/>
      <c r="N279" s="210">
        <f t="shared" si="86"/>
        <v>896.8540000000002</v>
      </c>
      <c r="O279" s="10">
        <f aca="true" t="shared" si="87" ref="O279:O289">SUM(Q279:AU279)</f>
        <v>12080.98</v>
      </c>
      <c r="P279" s="192" t="s">
        <v>171</v>
      </c>
      <c r="Q279" s="48">
        <v>10848</v>
      </c>
      <c r="R279" s="24"/>
      <c r="S279" s="45">
        <v>370</v>
      </c>
      <c r="T279" s="24"/>
      <c r="U279" s="24"/>
      <c r="V279" s="48"/>
      <c r="W279" s="48"/>
      <c r="X279" s="48"/>
      <c r="Y279" s="48"/>
      <c r="Z279" s="48"/>
      <c r="AA279" s="48"/>
      <c r="AB279" s="48"/>
      <c r="AC279" s="24"/>
      <c r="AD279" s="24"/>
      <c r="AE279" s="48"/>
      <c r="AF279" s="48"/>
      <c r="AG279" s="48"/>
      <c r="AH279" s="48"/>
      <c r="AI279" s="48"/>
      <c r="AJ279" s="48"/>
      <c r="AK279" s="48"/>
      <c r="AL279" s="48"/>
      <c r="AM279" s="48"/>
      <c r="AN279" s="24"/>
      <c r="AO279" s="24"/>
      <c r="AP279" s="24"/>
      <c r="AQ279" s="24"/>
      <c r="AR279" s="24"/>
      <c r="AS279" s="24">
        <v>862.98</v>
      </c>
      <c r="AT279" s="23"/>
      <c r="AU279" s="24"/>
      <c r="AV279" s="24"/>
    </row>
    <row r="280" spans="2:48" ht="12.75">
      <c r="B280" s="152">
        <v>22</v>
      </c>
      <c r="C280" s="37"/>
      <c r="D280" s="33"/>
      <c r="E280" s="88"/>
      <c r="F280" s="86"/>
      <c r="G280" s="8" t="s">
        <v>5</v>
      </c>
      <c r="H280" s="41">
        <v>17319.12</v>
      </c>
      <c r="I280" s="20">
        <v>14324.14</v>
      </c>
      <c r="J280" s="41"/>
      <c r="K280" s="212"/>
      <c r="L280" s="212"/>
      <c r="M280" s="212"/>
      <c r="N280" s="210">
        <f t="shared" si="86"/>
        <v>716.207</v>
      </c>
      <c r="O280" s="10">
        <f t="shared" si="87"/>
        <v>12725.98</v>
      </c>
      <c r="P280" s="192" t="s">
        <v>220</v>
      </c>
      <c r="Q280" s="48">
        <v>10848</v>
      </c>
      <c r="R280" s="24"/>
      <c r="S280" s="45"/>
      <c r="T280" s="24"/>
      <c r="U280" s="24"/>
      <c r="V280" s="48"/>
      <c r="W280" s="48"/>
      <c r="X280" s="48"/>
      <c r="Y280" s="48"/>
      <c r="Z280" s="48"/>
      <c r="AA280" s="48"/>
      <c r="AB280" s="48"/>
      <c r="AC280" s="24"/>
      <c r="AD280" s="48">
        <f>805+210</f>
        <v>1015</v>
      </c>
      <c r="AE280" s="48"/>
      <c r="AF280" s="48"/>
      <c r="AG280" s="48"/>
      <c r="AH280" s="48"/>
      <c r="AI280" s="48"/>
      <c r="AJ280" s="48"/>
      <c r="AK280" s="48"/>
      <c r="AL280" s="48"/>
      <c r="AM280" s="48"/>
      <c r="AN280" s="24"/>
      <c r="AO280" s="24"/>
      <c r="AP280" s="24"/>
      <c r="AQ280" s="24"/>
      <c r="AR280" s="24"/>
      <c r="AS280" s="24">
        <v>862.98</v>
      </c>
      <c r="AT280" s="23"/>
      <c r="AU280" s="23"/>
      <c r="AV280" s="24"/>
    </row>
    <row r="281" spans="2:48" ht="12.75">
      <c r="B281" s="152">
        <v>22</v>
      </c>
      <c r="C281" s="37"/>
      <c r="D281" s="33"/>
      <c r="E281" s="88"/>
      <c r="F281" s="86"/>
      <c r="G281" s="8" t="s">
        <v>6</v>
      </c>
      <c r="H281" s="41">
        <v>17319.12</v>
      </c>
      <c r="I281" s="20">
        <v>16702</v>
      </c>
      <c r="J281" s="41"/>
      <c r="K281" s="212"/>
      <c r="L281" s="212"/>
      <c r="M281" s="212"/>
      <c r="N281" s="210">
        <f t="shared" si="86"/>
        <v>835.1</v>
      </c>
      <c r="O281" s="10">
        <f t="shared" si="87"/>
        <v>11637.98</v>
      </c>
      <c r="P281" s="193"/>
      <c r="Q281" s="48">
        <v>10182</v>
      </c>
      <c r="R281" s="24"/>
      <c r="S281" s="24"/>
      <c r="T281" s="24"/>
      <c r="U281" s="24"/>
      <c r="V281" s="48"/>
      <c r="W281" s="48"/>
      <c r="X281" s="48"/>
      <c r="Y281" s="48"/>
      <c r="Z281" s="48"/>
      <c r="AA281" s="48"/>
      <c r="AB281" s="48"/>
      <c r="AC281" s="24"/>
      <c r="AD281" s="24"/>
      <c r="AE281" s="48"/>
      <c r="AF281" s="48"/>
      <c r="AG281" s="48"/>
      <c r="AH281" s="48"/>
      <c r="AI281" s="48"/>
      <c r="AJ281" s="48"/>
      <c r="AK281" s="48"/>
      <c r="AL281" s="48"/>
      <c r="AM281" s="48"/>
      <c r="AN281" s="24"/>
      <c r="AO281" s="24"/>
      <c r="AP281" s="24"/>
      <c r="AQ281" s="24"/>
      <c r="AR281" s="24"/>
      <c r="AS281" s="24">
        <v>862.98</v>
      </c>
      <c r="AT281" s="24"/>
      <c r="AU281" s="24">
        <v>593</v>
      </c>
      <c r="AV281" s="24"/>
    </row>
    <row r="282" spans="2:48" ht="12.75">
      <c r="B282" s="152">
        <v>22</v>
      </c>
      <c r="C282" s="37"/>
      <c r="D282" s="33"/>
      <c r="E282" s="88"/>
      <c r="F282" s="86"/>
      <c r="G282" s="8" t="s">
        <v>7</v>
      </c>
      <c r="H282" s="41">
        <v>17319.12</v>
      </c>
      <c r="I282" s="20">
        <v>21999.89</v>
      </c>
      <c r="J282" s="41"/>
      <c r="K282" s="212"/>
      <c r="L282" s="212"/>
      <c r="M282" s="212"/>
      <c r="N282" s="210">
        <f t="shared" si="86"/>
        <v>1099.9945</v>
      </c>
      <c r="O282" s="10">
        <f t="shared" si="87"/>
        <v>11962.98</v>
      </c>
      <c r="P282" s="192" t="s">
        <v>261</v>
      </c>
      <c r="Q282" s="48">
        <v>9819</v>
      </c>
      <c r="R282" s="24"/>
      <c r="S282" s="24"/>
      <c r="T282" s="24">
        <v>298</v>
      </c>
      <c r="U282" s="24"/>
      <c r="V282" s="48"/>
      <c r="W282" s="48">
        <v>211</v>
      </c>
      <c r="X282" s="48"/>
      <c r="Y282" s="48"/>
      <c r="Z282" s="48"/>
      <c r="AA282" s="48"/>
      <c r="AB282" s="48"/>
      <c r="AC282" s="48"/>
      <c r="AD282" s="48">
        <v>772</v>
      </c>
      <c r="AE282" s="48"/>
      <c r="AF282" s="48"/>
      <c r="AG282" s="48"/>
      <c r="AH282" s="48"/>
      <c r="AI282" s="48"/>
      <c r="AJ282" s="48"/>
      <c r="AK282" s="48"/>
      <c r="AL282" s="48"/>
      <c r="AM282" s="48"/>
      <c r="AN282" s="24"/>
      <c r="AO282" s="24"/>
      <c r="AP282" s="24"/>
      <c r="AQ282" s="24"/>
      <c r="AR282" s="24"/>
      <c r="AS282" s="24">
        <v>862.98</v>
      </c>
      <c r="AT282" s="23"/>
      <c r="AU282" s="24"/>
      <c r="AV282" s="24"/>
    </row>
    <row r="283" spans="2:48" ht="12.75">
      <c r="B283" s="152">
        <v>22</v>
      </c>
      <c r="C283" s="37"/>
      <c r="D283" s="33"/>
      <c r="E283" s="88"/>
      <c r="F283" s="86"/>
      <c r="G283" s="8" t="s">
        <v>8</v>
      </c>
      <c r="H283" s="41">
        <v>17318.54</v>
      </c>
      <c r="I283" s="20">
        <v>17240.45</v>
      </c>
      <c r="J283" s="41"/>
      <c r="K283" s="212"/>
      <c r="L283" s="212"/>
      <c r="M283" s="212"/>
      <c r="N283" s="210">
        <f t="shared" si="86"/>
        <v>862.0225</v>
      </c>
      <c r="O283" s="10">
        <f t="shared" si="87"/>
        <v>8682.98</v>
      </c>
      <c r="P283" s="192" t="s">
        <v>263</v>
      </c>
      <c r="Q283" s="48">
        <v>6758</v>
      </c>
      <c r="R283" s="24"/>
      <c r="S283" s="48">
        <v>894</v>
      </c>
      <c r="T283" s="24"/>
      <c r="U283" s="24"/>
      <c r="V283" s="48"/>
      <c r="W283" s="48"/>
      <c r="X283" s="48"/>
      <c r="Y283" s="48"/>
      <c r="Z283" s="48"/>
      <c r="AA283" s="48"/>
      <c r="AB283" s="48"/>
      <c r="AC283" s="48"/>
      <c r="AD283" s="24"/>
      <c r="AE283" s="48"/>
      <c r="AF283" s="48"/>
      <c r="AG283" s="48"/>
      <c r="AH283" s="48"/>
      <c r="AI283" s="48"/>
      <c r="AJ283" s="48"/>
      <c r="AK283" s="48"/>
      <c r="AL283" s="48"/>
      <c r="AM283" s="48"/>
      <c r="AN283" s="24"/>
      <c r="AO283" s="24"/>
      <c r="AP283" s="24"/>
      <c r="AQ283" s="24"/>
      <c r="AR283" s="24"/>
      <c r="AS283" s="24">
        <v>862.98</v>
      </c>
      <c r="AT283" s="24"/>
      <c r="AU283" s="24">
        <v>168</v>
      </c>
      <c r="AV283" s="24"/>
    </row>
    <row r="284" spans="2:48" ht="12.75">
      <c r="B284" s="152">
        <v>22</v>
      </c>
      <c r="C284" s="37"/>
      <c r="D284" s="33"/>
      <c r="E284" s="88"/>
      <c r="F284" s="86"/>
      <c r="G284" s="8" t="s">
        <v>9</v>
      </c>
      <c r="H284" s="41">
        <v>18671.86</v>
      </c>
      <c r="I284" s="20">
        <v>8427.85</v>
      </c>
      <c r="J284" s="41"/>
      <c r="K284" s="212"/>
      <c r="L284" s="212"/>
      <c r="M284" s="212"/>
      <c r="N284" s="210">
        <f t="shared" si="86"/>
        <v>421.39250000000004</v>
      </c>
      <c r="O284" s="10">
        <f t="shared" si="87"/>
        <v>9258.97</v>
      </c>
      <c r="P284" s="192"/>
      <c r="Q284" s="48">
        <v>6289</v>
      </c>
      <c r="R284" s="24"/>
      <c r="S284" s="24"/>
      <c r="T284" s="24"/>
      <c r="U284" s="24"/>
      <c r="V284" s="48"/>
      <c r="W284" s="48"/>
      <c r="X284" s="48"/>
      <c r="Y284" s="48"/>
      <c r="Z284" s="48"/>
      <c r="AA284" s="48"/>
      <c r="AB284" s="48"/>
      <c r="AC284" s="24"/>
      <c r="AD284" s="24"/>
      <c r="AE284" s="48"/>
      <c r="AF284" s="48"/>
      <c r="AG284" s="48"/>
      <c r="AH284" s="48"/>
      <c r="AI284" s="48"/>
      <c r="AJ284" s="48"/>
      <c r="AK284" s="48"/>
      <c r="AL284" s="48"/>
      <c r="AM284" s="48"/>
      <c r="AN284" s="24"/>
      <c r="AO284" s="24">
        <v>2047.5</v>
      </c>
      <c r="AP284" s="24"/>
      <c r="AQ284" s="24"/>
      <c r="AR284" s="24"/>
      <c r="AS284" s="24">
        <v>922.47</v>
      </c>
      <c r="AT284" s="24"/>
      <c r="AU284" s="24"/>
      <c r="AV284" s="24"/>
    </row>
    <row r="285" spans="2:48" ht="12.75">
      <c r="B285" s="152">
        <v>22</v>
      </c>
      <c r="C285" s="37"/>
      <c r="D285" s="33"/>
      <c r="E285" s="88"/>
      <c r="F285" s="86"/>
      <c r="G285" s="8" t="s">
        <v>10</v>
      </c>
      <c r="H285" s="41">
        <v>19371.86</v>
      </c>
      <c r="I285" s="20">
        <v>17153.17</v>
      </c>
      <c r="J285" s="41"/>
      <c r="K285" s="212"/>
      <c r="L285" s="212"/>
      <c r="M285" s="212"/>
      <c r="N285" s="210">
        <f t="shared" si="86"/>
        <v>857.6585</v>
      </c>
      <c r="O285" s="10">
        <f t="shared" si="87"/>
        <v>7211.47</v>
      </c>
      <c r="P285" s="192"/>
      <c r="Q285" s="48">
        <v>6289</v>
      </c>
      <c r="R285" s="24"/>
      <c r="S285" s="24"/>
      <c r="T285" s="24"/>
      <c r="U285" s="24"/>
      <c r="V285" s="48"/>
      <c r="W285" s="48"/>
      <c r="X285" s="48"/>
      <c r="Y285" s="48"/>
      <c r="Z285" s="48"/>
      <c r="AA285" s="48"/>
      <c r="AB285" s="48"/>
      <c r="AC285" s="24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24"/>
      <c r="AO285" s="24"/>
      <c r="AP285" s="24"/>
      <c r="AQ285" s="24"/>
      <c r="AR285" s="24"/>
      <c r="AS285" s="24">
        <v>922.47</v>
      </c>
      <c r="AT285" s="24"/>
      <c r="AU285" s="24"/>
      <c r="AV285" s="24"/>
    </row>
    <row r="286" spans="2:48" ht="12.75">
      <c r="B286" s="152">
        <v>22</v>
      </c>
      <c r="C286" s="37"/>
      <c r="D286" s="33"/>
      <c r="E286" s="88"/>
      <c r="F286" s="86"/>
      <c r="G286" s="8" t="s">
        <v>11</v>
      </c>
      <c r="H286" s="41">
        <v>19371.86</v>
      </c>
      <c r="I286" s="20">
        <v>22167.8</v>
      </c>
      <c r="J286" s="41"/>
      <c r="K286" s="212"/>
      <c r="L286" s="212"/>
      <c r="M286" s="212"/>
      <c r="N286" s="210">
        <f t="shared" si="86"/>
        <v>1108.39</v>
      </c>
      <c r="O286" s="10">
        <f t="shared" si="87"/>
        <v>10763.47</v>
      </c>
      <c r="P286" s="193"/>
      <c r="Q286" s="48">
        <v>6289</v>
      </c>
      <c r="R286" s="24"/>
      <c r="S286" s="24">
        <v>1758</v>
      </c>
      <c r="T286" s="24"/>
      <c r="U286" s="24"/>
      <c r="V286" s="48"/>
      <c r="W286" s="48"/>
      <c r="X286" s="48">
        <v>519</v>
      </c>
      <c r="Y286" s="48"/>
      <c r="Z286" s="48"/>
      <c r="AA286" s="48"/>
      <c r="AB286" s="48"/>
      <c r="AC286" s="48"/>
      <c r="AD286" s="24">
        <v>682</v>
      </c>
      <c r="AE286" s="48"/>
      <c r="AF286" s="48"/>
      <c r="AG286" s="48"/>
      <c r="AH286" s="48"/>
      <c r="AI286" s="48"/>
      <c r="AJ286" s="48"/>
      <c r="AK286" s="48"/>
      <c r="AL286" s="48"/>
      <c r="AM286" s="48"/>
      <c r="AN286" s="24"/>
      <c r="AO286" s="24"/>
      <c r="AP286" s="24"/>
      <c r="AQ286" s="24"/>
      <c r="AR286" s="24"/>
      <c r="AS286" s="24">
        <v>922.47</v>
      </c>
      <c r="AT286" s="24"/>
      <c r="AU286" s="24">
        <v>593</v>
      </c>
      <c r="AV286" s="24"/>
    </row>
    <row r="287" spans="2:48" ht="12.75">
      <c r="B287" s="152">
        <v>22</v>
      </c>
      <c r="C287" s="37"/>
      <c r="D287" s="33"/>
      <c r="E287" s="88"/>
      <c r="F287" s="86"/>
      <c r="G287" s="8" t="s">
        <v>12</v>
      </c>
      <c r="H287" s="41">
        <v>19401.53</v>
      </c>
      <c r="I287" s="20">
        <v>36399.13</v>
      </c>
      <c r="J287" s="41"/>
      <c r="K287" s="212"/>
      <c r="L287" s="212"/>
      <c r="M287" s="212"/>
      <c r="N287" s="210">
        <f t="shared" si="86"/>
        <v>1819.9565</v>
      </c>
      <c r="O287" s="10">
        <f t="shared" si="87"/>
        <v>7211.47</v>
      </c>
      <c r="P287" s="192"/>
      <c r="Q287" s="48">
        <v>6289</v>
      </c>
      <c r="R287" s="24"/>
      <c r="S287" s="24"/>
      <c r="T287" s="24"/>
      <c r="U287" s="24"/>
      <c r="V287" s="48"/>
      <c r="W287" s="48"/>
      <c r="X287" s="48"/>
      <c r="Y287" s="48"/>
      <c r="Z287" s="48"/>
      <c r="AA287" s="48"/>
      <c r="AB287" s="48"/>
      <c r="AC287" s="24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24"/>
      <c r="AO287" s="24"/>
      <c r="AP287" s="24"/>
      <c r="AQ287" s="24"/>
      <c r="AR287" s="24"/>
      <c r="AS287" s="24">
        <v>922.47</v>
      </c>
      <c r="AT287" s="24"/>
      <c r="AU287" s="24"/>
      <c r="AV287" s="24"/>
    </row>
    <row r="288" spans="2:48" ht="12.75">
      <c r="B288" s="152">
        <v>22</v>
      </c>
      <c r="C288" s="37"/>
      <c r="D288" s="33"/>
      <c r="E288" s="88"/>
      <c r="F288" s="86"/>
      <c r="G288" s="8" t="s">
        <v>13</v>
      </c>
      <c r="H288" s="41">
        <v>19401.53</v>
      </c>
      <c r="I288" s="20">
        <v>8458.12</v>
      </c>
      <c r="J288" s="41"/>
      <c r="K288" s="212"/>
      <c r="L288" s="212"/>
      <c r="M288" s="212"/>
      <c r="N288" s="210">
        <f t="shared" si="86"/>
        <v>422.90600000000006</v>
      </c>
      <c r="O288" s="10">
        <f t="shared" si="87"/>
        <v>11453.47</v>
      </c>
      <c r="P288" s="192" t="s">
        <v>376</v>
      </c>
      <c r="Q288" s="48">
        <v>6289</v>
      </c>
      <c r="R288" s="24"/>
      <c r="S288" s="24">
        <v>349</v>
      </c>
      <c r="T288" s="24"/>
      <c r="U288" s="24">
        <f>2287+1606</f>
        <v>3893</v>
      </c>
      <c r="V288" s="48"/>
      <c r="W288" s="48"/>
      <c r="X288" s="48"/>
      <c r="Y288" s="48"/>
      <c r="Z288" s="48"/>
      <c r="AA288" s="48"/>
      <c r="AB288" s="48"/>
      <c r="AC288" s="24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24"/>
      <c r="AO288" s="24"/>
      <c r="AP288" s="24"/>
      <c r="AQ288" s="24"/>
      <c r="AR288" s="24"/>
      <c r="AS288" s="24">
        <v>922.47</v>
      </c>
      <c r="AT288" s="24"/>
      <c r="AU288" s="24"/>
      <c r="AV288" s="24"/>
    </row>
    <row r="289" spans="2:48" ht="13.5" thickBot="1">
      <c r="B289" s="152">
        <v>22</v>
      </c>
      <c r="C289" s="38"/>
      <c r="D289" s="35"/>
      <c r="E289" s="125"/>
      <c r="F289" s="87"/>
      <c r="G289" s="12" t="s">
        <v>14</v>
      </c>
      <c r="H289" s="41">
        <v>19401.53</v>
      </c>
      <c r="I289" s="21">
        <v>22620.69</v>
      </c>
      <c r="J289" s="41"/>
      <c r="K289" s="212"/>
      <c r="L289" s="212"/>
      <c r="M289" s="212"/>
      <c r="N289" s="210">
        <f t="shared" si="86"/>
        <v>1131.0345</v>
      </c>
      <c r="O289" s="10">
        <f t="shared" si="87"/>
        <v>10763.47</v>
      </c>
      <c r="P289" s="194"/>
      <c r="Q289" s="49">
        <v>9673</v>
      </c>
      <c r="R289" s="25"/>
      <c r="S289" s="49"/>
      <c r="T289" s="25"/>
      <c r="U289" s="25"/>
      <c r="V289" s="49"/>
      <c r="W289" s="49"/>
      <c r="X289" s="49"/>
      <c r="Y289" s="49"/>
      <c r="Z289" s="49"/>
      <c r="AA289" s="49"/>
      <c r="AB289" s="49"/>
      <c r="AC289" s="25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25"/>
      <c r="AO289" s="25"/>
      <c r="AP289" s="25"/>
      <c r="AQ289" s="25"/>
      <c r="AR289" s="25"/>
      <c r="AS289" s="25">
        <v>922.47</v>
      </c>
      <c r="AT289" s="25"/>
      <c r="AU289" s="25">
        <v>168</v>
      </c>
      <c r="AV289" s="128">
        <f>AV277+I277+J277-K277-L277-M277-N277-O277</f>
        <v>91793.20399999998</v>
      </c>
    </row>
    <row r="290" spans="2:48" ht="14.25" thickBot="1" thickTop="1">
      <c r="B290" s="151">
        <v>23</v>
      </c>
      <c r="C290" s="147" t="s">
        <v>66</v>
      </c>
      <c r="D290" s="67">
        <v>10</v>
      </c>
      <c r="E290" s="217" t="s">
        <v>149</v>
      </c>
      <c r="F290" s="84">
        <v>1263.3</v>
      </c>
      <c r="G290" s="50"/>
      <c r="H290" s="69">
        <v>53319.71000000001</v>
      </c>
      <c r="I290" s="69">
        <v>54862.76999999999</v>
      </c>
      <c r="J290" s="69">
        <f>SUM(J291:J302)</f>
        <v>0</v>
      </c>
      <c r="K290" s="211">
        <f>SUM(K291:K302)</f>
        <v>0</v>
      </c>
      <c r="L290" s="211">
        <f>SUM(L291:L302)</f>
        <v>0</v>
      </c>
      <c r="M290" s="211">
        <f>SUM(M291:M302)</f>
        <v>1620.75</v>
      </c>
      <c r="N290" s="215">
        <f>SUM(N291:N302)</f>
        <v>2743.1385</v>
      </c>
      <c r="O290" s="16">
        <f>SUM(Q290:AU290)</f>
        <v>30735.27</v>
      </c>
      <c r="P290" s="99"/>
      <c r="Q290" s="11">
        <f>SUM(Q291:Q302)</f>
        <v>22446</v>
      </c>
      <c r="R290" s="11">
        <f>SUM(R291:R302)</f>
        <v>2336</v>
      </c>
      <c r="S290" s="11">
        <f>SUM(S291:S302)</f>
        <v>0</v>
      </c>
      <c r="T290" s="11">
        <f>SUM(T291:T302)</f>
        <v>0</v>
      </c>
      <c r="U290" s="11">
        <f>SUM(U291:U302)</f>
        <v>0</v>
      </c>
      <c r="V290" s="50">
        <f aca="true" t="shared" si="88" ref="V290:AM290">SUM(V291:V302)</f>
        <v>0</v>
      </c>
      <c r="W290" s="50">
        <f t="shared" si="88"/>
        <v>779</v>
      </c>
      <c r="X290" s="50">
        <f t="shared" si="88"/>
        <v>0</v>
      </c>
      <c r="Y290" s="50">
        <f t="shared" si="88"/>
        <v>0</v>
      </c>
      <c r="Z290" s="50">
        <f>SUM(Z291:Z302)</f>
        <v>0</v>
      </c>
      <c r="AA290" s="50">
        <f>SUM(AA291:AA302)</f>
        <v>0</v>
      </c>
      <c r="AB290" s="50">
        <f t="shared" si="88"/>
        <v>0</v>
      </c>
      <c r="AC290" s="50">
        <f t="shared" si="88"/>
        <v>0</v>
      </c>
      <c r="AD290" s="50">
        <f t="shared" si="88"/>
        <v>809</v>
      </c>
      <c r="AE290" s="50">
        <f t="shared" si="88"/>
        <v>0</v>
      </c>
      <c r="AF290" s="50">
        <f t="shared" si="88"/>
        <v>0</v>
      </c>
      <c r="AG290" s="50">
        <f t="shared" si="88"/>
        <v>0</v>
      </c>
      <c r="AH290" s="50">
        <f t="shared" si="88"/>
        <v>0</v>
      </c>
      <c r="AI290" s="50">
        <f>SUM(AI291:AI302)</f>
        <v>0</v>
      </c>
      <c r="AJ290" s="50">
        <f>SUM(AJ291:AJ302)</f>
        <v>0</v>
      </c>
      <c r="AK290" s="50">
        <f>SUM(AK291:AK302)</f>
        <v>0</v>
      </c>
      <c r="AL290" s="50">
        <f>SUM(AL291:AL302)</f>
        <v>0</v>
      </c>
      <c r="AM290" s="50">
        <f t="shared" si="88"/>
        <v>0</v>
      </c>
      <c r="AN290" s="11">
        <f aca="true" t="shared" si="89" ref="AN290:AU290">SUM(AN291:AN302)</f>
        <v>0</v>
      </c>
      <c r="AO290" s="11">
        <f t="shared" si="89"/>
        <v>0</v>
      </c>
      <c r="AP290" s="11">
        <f t="shared" si="89"/>
        <v>0</v>
      </c>
      <c r="AQ290" s="11">
        <f>SUM(AQ291:AQ302)</f>
        <v>0</v>
      </c>
      <c r="AR290" s="11">
        <f>SUM(AR291:AR302)</f>
        <v>0</v>
      </c>
      <c r="AS290" s="11">
        <f t="shared" si="89"/>
        <v>2981.27</v>
      </c>
      <c r="AT290" s="11">
        <f t="shared" si="89"/>
        <v>0</v>
      </c>
      <c r="AU290" s="11">
        <f t="shared" si="89"/>
        <v>1384</v>
      </c>
      <c r="AV290" s="127">
        <v>-690.32</v>
      </c>
    </row>
    <row r="291" spans="2:48" ht="13.5" thickTop="1">
      <c r="B291" s="152">
        <v>23</v>
      </c>
      <c r="C291" s="36" t="s">
        <v>79</v>
      </c>
      <c r="D291" s="31"/>
      <c r="E291" s="89"/>
      <c r="F291" s="85"/>
      <c r="G291" s="61" t="s">
        <v>3</v>
      </c>
      <c r="H291" s="41">
        <v>3849.34</v>
      </c>
      <c r="I291" s="19">
        <v>2890.25</v>
      </c>
      <c r="J291" s="41"/>
      <c r="K291" s="212"/>
      <c r="L291" s="212"/>
      <c r="M291" s="212">
        <v>1620.75</v>
      </c>
      <c r="N291" s="210">
        <f aca="true" t="shared" si="90" ref="N291:N302">I291*0.05</f>
        <v>144.51250000000002</v>
      </c>
      <c r="O291" s="10">
        <f>SUM(Q291:AU291)</f>
        <v>1175.06</v>
      </c>
      <c r="P291" s="106"/>
      <c r="Q291" s="39">
        <v>935</v>
      </c>
      <c r="R291" s="23"/>
      <c r="S291" s="23"/>
      <c r="T291" s="23"/>
      <c r="U291" s="23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23"/>
      <c r="AO291" s="23"/>
      <c r="AP291" s="23"/>
      <c r="AQ291" s="23"/>
      <c r="AR291" s="23"/>
      <c r="AS291" s="23">
        <v>240.06</v>
      </c>
      <c r="AT291" s="23"/>
      <c r="AU291" s="23"/>
      <c r="AV291" s="23"/>
    </row>
    <row r="292" spans="2:48" ht="12.75">
      <c r="B292" s="152">
        <v>23</v>
      </c>
      <c r="C292" s="37"/>
      <c r="D292" s="33"/>
      <c r="E292" s="90"/>
      <c r="F292" s="86"/>
      <c r="G292" s="62" t="s">
        <v>4</v>
      </c>
      <c r="H292" s="41">
        <v>3850.09</v>
      </c>
      <c r="I292" s="20">
        <v>3799.23</v>
      </c>
      <c r="J292" s="41"/>
      <c r="K292" s="212"/>
      <c r="L292" s="212"/>
      <c r="M292" s="212"/>
      <c r="N292" s="210">
        <f t="shared" si="90"/>
        <v>189.9615</v>
      </c>
      <c r="O292" s="10">
        <f aca="true" t="shared" si="91" ref="O292:O302">SUM(Q292:AU292)</f>
        <v>1175.06</v>
      </c>
      <c r="P292" s="101"/>
      <c r="Q292" s="48">
        <v>935</v>
      </c>
      <c r="R292" s="24"/>
      <c r="S292" s="45"/>
      <c r="T292" s="24"/>
      <c r="U292" s="24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24"/>
      <c r="AO292" s="24"/>
      <c r="AP292" s="24"/>
      <c r="AQ292" s="24"/>
      <c r="AR292" s="24"/>
      <c r="AS292" s="24">
        <v>240.06</v>
      </c>
      <c r="AT292" s="23"/>
      <c r="AU292" s="24"/>
      <c r="AV292" s="24"/>
    </row>
    <row r="293" spans="2:48" ht="12.75">
      <c r="B293" s="152">
        <v>23</v>
      </c>
      <c r="C293" s="37"/>
      <c r="D293" s="33"/>
      <c r="E293" s="88"/>
      <c r="F293" s="86"/>
      <c r="G293" s="8" t="s">
        <v>5</v>
      </c>
      <c r="H293" s="41">
        <v>3850.09</v>
      </c>
      <c r="I293" s="20">
        <v>4760.25</v>
      </c>
      <c r="J293" s="41"/>
      <c r="K293" s="212"/>
      <c r="L293" s="212"/>
      <c r="M293" s="212"/>
      <c r="N293" s="210">
        <f t="shared" si="90"/>
        <v>238.01250000000002</v>
      </c>
      <c r="O293" s="10">
        <f t="shared" si="91"/>
        <v>1175.1100000000001</v>
      </c>
      <c r="P293" s="101"/>
      <c r="Q293" s="48">
        <v>935</v>
      </c>
      <c r="R293" s="24"/>
      <c r="S293" s="45"/>
      <c r="T293" s="24"/>
      <c r="U293" s="24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24"/>
      <c r="AO293" s="24"/>
      <c r="AP293" s="24"/>
      <c r="AQ293" s="24"/>
      <c r="AR293" s="24"/>
      <c r="AS293" s="24">
        <v>240.11</v>
      </c>
      <c r="AT293" s="23"/>
      <c r="AU293" s="23"/>
      <c r="AV293" s="24"/>
    </row>
    <row r="294" spans="2:48" ht="12.75">
      <c r="B294" s="152">
        <v>23</v>
      </c>
      <c r="C294" s="37"/>
      <c r="D294" s="33"/>
      <c r="E294" s="88"/>
      <c r="F294" s="86"/>
      <c r="G294" s="8" t="s">
        <v>6</v>
      </c>
      <c r="H294" s="41">
        <v>3851.53</v>
      </c>
      <c r="I294" s="20">
        <v>3931.73</v>
      </c>
      <c r="J294" s="41"/>
      <c r="K294" s="212"/>
      <c r="L294" s="212"/>
      <c r="M294" s="212"/>
      <c r="N294" s="210">
        <f t="shared" si="90"/>
        <v>196.5865</v>
      </c>
      <c r="O294" s="10">
        <f t="shared" si="91"/>
        <v>2549.11</v>
      </c>
      <c r="P294" s="103"/>
      <c r="Q294" s="48">
        <v>1995</v>
      </c>
      <c r="R294" s="24"/>
      <c r="S294" s="24"/>
      <c r="T294" s="24"/>
      <c r="U294" s="24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24"/>
      <c r="AO294" s="24"/>
      <c r="AP294" s="24"/>
      <c r="AQ294" s="24"/>
      <c r="AR294" s="24"/>
      <c r="AS294" s="24">
        <v>240.11</v>
      </c>
      <c r="AT294" s="24"/>
      <c r="AU294" s="24">
        <v>314</v>
      </c>
      <c r="AV294" s="24"/>
    </row>
    <row r="295" spans="2:48" ht="12.75">
      <c r="B295" s="152">
        <v>23</v>
      </c>
      <c r="C295" s="37"/>
      <c r="D295" s="33"/>
      <c r="E295" s="88"/>
      <c r="F295" s="86"/>
      <c r="G295" s="8" t="s">
        <v>7</v>
      </c>
      <c r="H295" s="41">
        <v>3851.53</v>
      </c>
      <c r="I295" s="20">
        <v>3823.29</v>
      </c>
      <c r="J295" s="41"/>
      <c r="K295" s="212"/>
      <c r="L295" s="212"/>
      <c r="M295" s="212"/>
      <c r="N295" s="210">
        <f t="shared" si="90"/>
        <v>191.1645</v>
      </c>
      <c r="O295" s="10">
        <f t="shared" si="91"/>
        <v>4526.11</v>
      </c>
      <c r="P295" s="101" t="s">
        <v>169</v>
      </c>
      <c r="Q295" s="48">
        <v>2698</v>
      </c>
      <c r="R295" s="24"/>
      <c r="S295" s="24"/>
      <c r="T295" s="24"/>
      <c r="U295" s="24"/>
      <c r="V295" s="48"/>
      <c r="W295" s="48">
        <v>779</v>
      </c>
      <c r="X295" s="48"/>
      <c r="Y295" s="48"/>
      <c r="Z295" s="48"/>
      <c r="AA295" s="48"/>
      <c r="AB295" s="48"/>
      <c r="AC295" s="48"/>
      <c r="AD295" s="48">
        <v>809</v>
      </c>
      <c r="AE295" s="48"/>
      <c r="AF295" s="48"/>
      <c r="AG295" s="48"/>
      <c r="AH295" s="48"/>
      <c r="AI295" s="48"/>
      <c r="AJ295" s="48"/>
      <c r="AK295" s="48"/>
      <c r="AL295" s="48"/>
      <c r="AM295" s="48"/>
      <c r="AN295" s="24"/>
      <c r="AO295" s="24"/>
      <c r="AP295" s="24"/>
      <c r="AQ295" s="24"/>
      <c r="AR295" s="24"/>
      <c r="AS295" s="24">
        <v>240.11</v>
      </c>
      <c r="AT295" s="23"/>
      <c r="AU295" s="24"/>
      <c r="AV295" s="24"/>
    </row>
    <row r="296" spans="2:48" ht="12.75">
      <c r="B296" s="152">
        <v>23</v>
      </c>
      <c r="C296" s="37"/>
      <c r="D296" s="33"/>
      <c r="E296" s="88"/>
      <c r="F296" s="86"/>
      <c r="G296" s="8" t="s">
        <v>8</v>
      </c>
      <c r="H296" s="41">
        <v>3851.53</v>
      </c>
      <c r="I296" s="20">
        <v>2499.42</v>
      </c>
      <c r="J296" s="41"/>
      <c r="K296" s="212"/>
      <c r="L296" s="212"/>
      <c r="M296" s="212"/>
      <c r="N296" s="210">
        <f t="shared" si="90"/>
        <v>124.971</v>
      </c>
      <c r="O296" s="10">
        <f t="shared" si="91"/>
        <v>5016.2</v>
      </c>
      <c r="P296" s="101" t="s">
        <v>174</v>
      </c>
      <c r="Q296" s="48">
        <v>2062</v>
      </c>
      <c r="R296" s="24">
        <v>2336</v>
      </c>
      <c r="S296" s="24"/>
      <c r="T296" s="24"/>
      <c r="U296" s="24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24"/>
      <c r="AO296" s="24"/>
      <c r="AP296" s="24"/>
      <c r="AQ296" s="24"/>
      <c r="AR296" s="24"/>
      <c r="AS296" s="24">
        <v>240.2</v>
      </c>
      <c r="AT296" s="24"/>
      <c r="AU296" s="24">
        <v>378</v>
      </c>
      <c r="AV296" s="24"/>
    </row>
    <row r="297" spans="2:48" ht="12.75">
      <c r="B297" s="152">
        <v>23</v>
      </c>
      <c r="C297" s="37"/>
      <c r="D297" s="33"/>
      <c r="E297" s="88"/>
      <c r="F297" s="86"/>
      <c r="G297" s="8" t="s">
        <v>9</v>
      </c>
      <c r="H297" s="41">
        <v>4307.06</v>
      </c>
      <c r="I297" s="20">
        <v>4655.12</v>
      </c>
      <c r="J297" s="41"/>
      <c r="K297" s="212"/>
      <c r="L297" s="212"/>
      <c r="M297" s="212"/>
      <c r="N297" s="210">
        <f t="shared" si="90"/>
        <v>232.756</v>
      </c>
      <c r="O297" s="10">
        <f t="shared" si="91"/>
        <v>2318.77</v>
      </c>
      <c r="P297" s="101"/>
      <c r="Q297" s="48">
        <v>2062</v>
      </c>
      <c r="R297" s="24"/>
      <c r="S297" s="24"/>
      <c r="T297" s="24"/>
      <c r="U297" s="24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24"/>
      <c r="AO297" s="24"/>
      <c r="AP297" s="24"/>
      <c r="AQ297" s="24"/>
      <c r="AR297" s="24"/>
      <c r="AS297" s="24">
        <v>256.77</v>
      </c>
      <c r="AT297" s="24"/>
      <c r="AU297" s="24"/>
      <c r="AV297" s="24"/>
    </row>
    <row r="298" spans="2:48" ht="12.75">
      <c r="B298" s="152">
        <v>23</v>
      </c>
      <c r="C298" s="37"/>
      <c r="D298" s="33"/>
      <c r="E298" s="88"/>
      <c r="F298" s="86"/>
      <c r="G298" s="8" t="s">
        <v>10</v>
      </c>
      <c r="H298" s="41">
        <v>4307.06</v>
      </c>
      <c r="I298" s="20">
        <v>5153.18</v>
      </c>
      <c r="J298" s="41"/>
      <c r="K298" s="212"/>
      <c r="L298" s="212"/>
      <c r="M298" s="212"/>
      <c r="N298" s="210">
        <f t="shared" si="90"/>
        <v>257.65900000000005</v>
      </c>
      <c r="O298" s="10">
        <f t="shared" si="91"/>
        <v>2318.77</v>
      </c>
      <c r="P298" s="101"/>
      <c r="Q298" s="48">
        <v>2062</v>
      </c>
      <c r="R298" s="24"/>
      <c r="S298" s="24"/>
      <c r="T298" s="24"/>
      <c r="U298" s="24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24"/>
      <c r="AO298" s="24"/>
      <c r="AP298" s="24"/>
      <c r="AQ298" s="24"/>
      <c r="AR298" s="24"/>
      <c r="AS298" s="24">
        <v>256.77</v>
      </c>
      <c r="AT298" s="24"/>
      <c r="AU298" s="24"/>
      <c r="AV298" s="24"/>
    </row>
    <row r="299" spans="2:48" ht="12.75">
      <c r="B299" s="152">
        <v>23</v>
      </c>
      <c r="C299" s="37"/>
      <c r="D299" s="33"/>
      <c r="E299" s="88"/>
      <c r="F299" s="86"/>
      <c r="G299" s="8" t="s">
        <v>11</v>
      </c>
      <c r="H299" s="41">
        <v>4307.06</v>
      </c>
      <c r="I299" s="20">
        <v>4841.61</v>
      </c>
      <c r="J299" s="41"/>
      <c r="K299" s="212"/>
      <c r="L299" s="212"/>
      <c r="M299" s="212"/>
      <c r="N299" s="210">
        <f t="shared" si="90"/>
        <v>242.0805</v>
      </c>
      <c r="O299" s="10">
        <f t="shared" si="91"/>
        <v>2632.77</v>
      </c>
      <c r="P299" s="101"/>
      <c r="Q299" s="48">
        <v>2062</v>
      </c>
      <c r="R299" s="24"/>
      <c r="S299" s="24"/>
      <c r="T299" s="24"/>
      <c r="U299" s="24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24"/>
      <c r="AO299" s="24"/>
      <c r="AP299" s="24"/>
      <c r="AQ299" s="24"/>
      <c r="AR299" s="24"/>
      <c r="AS299" s="24">
        <v>256.77</v>
      </c>
      <c r="AT299" s="24"/>
      <c r="AU299" s="24">
        <v>314</v>
      </c>
      <c r="AV299" s="24"/>
    </row>
    <row r="300" spans="2:48" ht="12.75">
      <c r="B300" s="152">
        <v>23</v>
      </c>
      <c r="C300" s="37"/>
      <c r="D300" s="33"/>
      <c r="E300" s="88"/>
      <c r="F300" s="86"/>
      <c r="G300" s="8" t="s">
        <v>12</v>
      </c>
      <c r="H300" s="41">
        <v>6493.68</v>
      </c>
      <c r="I300" s="20">
        <v>6934.6</v>
      </c>
      <c r="J300" s="41"/>
      <c r="K300" s="212"/>
      <c r="L300" s="212"/>
      <c r="M300" s="212"/>
      <c r="N300" s="210">
        <f t="shared" si="90"/>
        <v>346.73</v>
      </c>
      <c r="O300" s="10">
        <f t="shared" si="91"/>
        <v>2318.77</v>
      </c>
      <c r="P300" s="101"/>
      <c r="Q300" s="24">
        <v>2062</v>
      </c>
      <c r="R300" s="24"/>
      <c r="S300" s="24"/>
      <c r="T300" s="24"/>
      <c r="U300" s="24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24"/>
      <c r="AO300" s="24"/>
      <c r="AP300" s="24"/>
      <c r="AQ300" s="24"/>
      <c r="AR300" s="24"/>
      <c r="AS300" s="24">
        <v>256.77</v>
      </c>
      <c r="AT300" s="24"/>
      <c r="AU300" s="24"/>
      <c r="AV300" s="24"/>
    </row>
    <row r="301" spans="2:48" ht="12.75">
      <c r="B301" s="152">
        <v>23</v>
      </c>
      <c r="C301" s="37"/>
      <c r="D301" s="33"/>
      <c r="E301" s="88"/>
      <c r="F301" s="86"/>
      <c r="G301" s="8" t="s">
        <v>13</v>
      </c>
      <c r="H301" s="41">
        <v>5400.37</v>
      </c>
      <c r="I301" s="20">
        <v>4450.61</v>
      </c>
      <c r="J301" s="41"/>
      <c r="K301" s="212"/>
      <c r="L301" s="212"/>
      <c r="M301" s="212"/>
      <c r="N301" s="210">
        <f t="shared" si="90"/>
        <v>222.5305</v>
      </c>
      <c r="O301" s="10">
        <f t="shared" si="91"/>
        <v>2318.77</v>
      </c>
      <c r="P301" s="101"/>
      <c r="Q301" s="24">
        <v>2062</v>
      </c>
      <c r="R301" s="24"/>
      <c r="S301" s="24"/>
      <c r="T301" s="24"/>
      <c r="U301" s="24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24"/>
      <c r="AO301" s="24"/>
      <c r="AP301" s="24"/>
      <c r="AQ301" s="24"/>
      <c r="AR301" s="24"/>
      <c r="AS301" s="24">
        <v>256.77</v>
      </c>
      <c r="AT301" s="24"/>
      <c r="AU301" s="24"/>
      <c r="AV301" s="24"/>
    </row>
    <row r="302" spans="2:48" ht="13.5" thickBot="1">
      <c r="B302" s="152">
        <v>23</v>
      </c>
      <c r="C302" s="38"/>
      <c r="D302" s="35"/>
      <c r="E302" s="125"/>
      <c r="F302" s="87"/>
      <c r="G302" s="12" t="s">
        <v>14</v>
      </c>
      <c r="H302" s="41">
        <v>5400.37</v>
      </c>
      <c r="I302" s="21">
        <v>7123.48</v>
      </c>
      <c r="J302" s="41"/>
      <c r="K302" s="212"/>
      <c r="L302" s="212"/>
      <c r="M302" s="212"/>
      <c r="N302" s="210">
        <f t="shared" si="90"/>
        <v>356.174</v>
      </c>
      <c r="O302" s="10">
        <f t="shared" si="91"/>
        <v>3210.77</v>
      </c>
      <c r="P302" s="104"/>
      <c r="Q302" s="25">
        <v>2576</v>
      </c>
      <c r="R302" s="25"/>
      <c r="S302" s="25"/>
      <c r="T302" s="25"/>
      <c r="U302" s="25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25"/>
      <c r="AO302" s="25"/>
      <c r="AP302" s="25"/>
      <c r="AQ302" s="25"/>
      <c r="AR302" s="25"/>
      <c r="AS302" s="25">
        <v>256.77</v>
      </c>
      <c r="AT302" s="25"/>
      <c r="AU302" s="25">
        <v>378</v>
      </c>
      <c r="AV302" s="128">
        <f>AV290+I290+J290-K290-L290-M290-N290-O290</f>
        <v>19073.29149999999</v>
      </c>
    </row>
    <row r="303" spans="2:48" ht="14.25" thickBot="1" thickTop="1">
      <c r="B303" s="151">
        <v>24</v>
      </c>
      <c r="C303" s="147" t="s">
        <v>66</v>
      </c>
      <c r="D303" s="67">
        <v>12</v>
      </c>
      <c r="E303" s="145" t="s">
        <v>148</v>
      </c>
      <c r="F303" s="84">
        <v>1132.1</v>
      </c>
      <c r="G303" s="50"/>
      <c r="H303" s="69">
        <v>51298.31999999999</v>
      </c>
      <c r="I303" s="69">
        <v>47344.76</v>
      </c>
      <c r="J303" s="69">
        <f>SUM(J304:J315)</f>
        <v>0</v>
      </c>
      <c r="K303" s="211">
        <f>SUM(K304:K315)</f>
        <v>0</v>
      </c>
      <c r="L303" s="211">
        <f>SUM(L304:L315)</f>
        <v>0</v>
      </c>
      <c r="M303" s="211">
        <f>SUM(M304:M315)</f>
        <v>849.57</v>
      </c>
      <c r="N303" s="215">
        <f>SUM(N304:N315)</f>
        <v>2367.2380000000003</v>
      </c>
      <c r="O303" s="16">
        <f>SUM(Q303:AU303)</f>
        <v>46875.482</v>
      </c>
      <c r="P303" s="99"/>
      <c r="Q303" s="11">
        <f>SUM(Q304:Q315)</f>
        <v>38072</v>
      </c>
      <c r="R303" s="11">
        <f>SUM(R304:R315)</f>
        <v>2336</v>
      </c>
      <c r="S303" s="11">
        <f>SUM(S304:S315)</f>
        <v>0</v>
      </c>
      <c r="T303" s="11">
        <f>SUM(T304:T315)</f>
        <v>0</v>
      </c>
      <c r="U303" s="11">
        <f>SUM(U304:U315)</f>
        <v>0</v>
      </c>
      <c r="V303" s="50">
        <f aca="true" t="shared" si="92" ref="V303:AM303">SUM(V304:V315)</f>
        <v>0</v>
      </c>
      <c r="W303" s="50">
        <f t="shared" si="92"/>
        <v>779</v>
      </c>
      <c r="X303" s="50">
        <f t="shared" si="92"/>
        <v>0</v>
      </c>
      <c r="Y303" s="50">
        <f t="shared" si="92"/>
        <v>0</v>
      </c>
      <c r="Z303" s="50">
        <f>SUM(Z304:Z315)</f>
        <v>0</v>
      </c>
      <c r="AA303" s="50">
        <f>SUM(AA304:AA315)</f>
        <v>0</v>
      </c>
      <c r="AB303" s="50">
        <f t="shared" si="92"/>
        <v>0</v>
      </c>
      <c r="AC303" s="50">
        <f t="shared" si="92"/>
        <v>0</v>
      </c>
      <c r="AD303" s="50">
        <f t="shared" si="92"/>
        <v>1436</v>
      </c>
      <c r="AE303" s="50">
        <f t="shared" si="92"/>
        <v>0</v>
      </c>
      <c r="AF303" s="50">
        <f t="shared" si="92"/>
        <v>0</v>
      </c>
      <c r="AG303" s="50">
        <f t="shared" si="92"/>
        <v>0</v>
      </c>
      <c r="AH303" s="50">
        <f t="shared" si="92"/>
        <v>0</v>
      </c>
      <c r="AI303" s="50">
        <f>SUM(AI304:AI315)</f>
        <v>0</v>
      </c>
      <c r="AJ303" s="50">
        <f>SUM(AJ304:AJ315)</f>
        <v>0</v>
      </c>
      <c r="AK303" s="50">
        <f>SUM(AK304:AK315)</f>
        <v>0</v>
      </c>
      <c r="AL303" s="50">
        <f>SUM(AL304:AL315)</f>
        <v>0</v>
      </c>
      <c r="AM303" s="50">
        <f t="shared" si="92"/>
        <v>0</v>
      </c>
      <c r="AN303" s="11">
        <f aca="true" t="shared" si="93" ref="AN303:AU303">SUM(AN304:AN315)</f>
        <v>0</v>
      </c>
      <c r="AO303" s="11">
        <f t="shared" si="93"/>
        <v>0</v>
      </c>
      <c r="AP303" s="11">
        <f t="shared" si="93"/>
        <v>0</v>
      </c>
      <c r="AQ303" s="11">
        <f>SUM(AQ304:AQ315)</f>
        <v>0</v>
      </c>
      <c r="AR303" s="11">
        <f>SUM(AR304:AR315)</f>
        <v>0</v>
      </c>
      <c r="AS303" s="11">
        <f t="shared" si="93"/>
        <v>2868.482</v>
      </c>
      <c r="AT303" s="11">
        <f t="shared" si="93"/>
        <v>0</v>
      </c>
      <c r="AU303" s="11">
        <f t="shared" si="93"/>
        <v>1384</v>
      </c>
      <c r="AV303" s="127">
        <v>-5773.89</v>
      </c>
    </row>
    <row r="304" spans="2:48" ht="13.5" thickTop="1">
      <c r="B304" s="152">
        <v>24</v>
      </c>
      <c r="C304" s="36" t="s">
        <v>88</v>
      </c>
      <c r="D304" s="31"/>
      <c r="E304" s="89"/>
      <c r="F304" s="85"/>
      <c r="G304" s="61" t="s">
        <v>3</v>
      </c>
      <c r="H304" s="41">
        <v>3705.18</v>
      </c>
      <c r="I304" s="19">
        <v>3359.35</v>
      </c>
      <c r="J304" s="41"/>
      <c r="K304" s="212"/>
      <c r="L304" s="212"/>
      <c r="M304" s="212">
        <v>849.57</v>
      </c>
      <c r="N304" s="210">
        <f aca="true" t="shared" si="94" ref="N304:N315">I304*0.05</f>
        <v>167.9675</v>
      </c>
      <c r="O304" s="10">
        <f>SUM(Q304:AU304)</f>
        <v>4564.072</v>
      </c>
      <c r="P304" s="106"/>
      <c r="Q304" s="39">
        <v>4333</v>
      </c>
      <c r="R304" s="23"/>
      <c r="S304" s="23"/>
      <c r="T304" s="23"/>
      <c r="U304" s="23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23"/>
      <c r="AO304" s="23"/>
      <c r="AP304" s="23"/>
      <c r="AQ304" s="23"/>
      <c r="AR304" s="23"/>
      <c r="AS304" s="23">
        <v>231.072</v>
      </c>
      <c r="AT304" s="23"/>
      <c r="AU304" s="23"/>
      <c r="AV304" s="23"/>
    </row>
    <row r="305" spans="2:48" ht="12.75">
      <c r="B305" s="152">
        <v>24</v>
      </c>
      <c r="C305" s="37"/>
      <c r="D305" s="33"/>
      <c r="E305" s="90"/>
      <c r="F305" s="86"/>
      <c r="G305" s="62" t="s">
        <v>4</v>
      </c>
      <c r="H305" s="41">
        <v>3705.18</v>
      </c>
      <c r="I305" s="20">
        <v>2804.72</v>
      </c>
      <c r="J305" s="41"/>
      <c r="K305" s="212"/>
      <c r="L305" s="212"/>
      <c r="M305" s="212"/>
      <c r="N305" s="210">
        <f t="shared" si="94"/>
        <v>140.236</v>
      </c>
      <c r="O305" s="10">
        <f aca="true" t="shared" si="95" ref="O305:O315">SUM(Q305:AU305)</f>
        <v>4564.07</v>
      </c>
      <c r="P305" s="101"/>
      <c r="Q305" s="48">
        <v>4333</v>
      </c>
      <c r="R305" s="24"/>
      <c r="S305" s="45"/>
      <c r="T305" s="24"/>
      <c r="U305" s="24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24"/>
      <c r="AO305" s="24"/>
      <c r="AP305" s="24"/>
      <c r="AQ305" s="24"/>
      <c r="AR305" s="24"/>
      <c r="AS305" s="24">
        <v>231.07</v>
      </c>
      <c r="AT305" s="23"/>
      <c r="AU305" s="24"/>
      <c r="AV305" s="24"/>
    </row>
    <row r="306" spans="2:48" ht="12.75">
      <c r="B306" s="152">
        <v>24</v>
      </c>
      <c r="C306" s="37"/>
      <c r="D306" s="33"/>
      <c r="E306" s="88"/>
      <c r="F306" s="86"/>
      <c r="G306" s="8" t="s">
        <v>5</v>
      </c>
      <c r="H306" s="41">
        <v>3705.18</v>
      </c>
      <c r="I306" s="20">
        <v>3742.77</v>
      </c>
      <c r="J306" s="41"/>
      <c r="K306" s="212"/>
      <c r="L306" s="212"/>
      <c r="M306" s="212"/>
      <c r="N306" s="210">
        <f t="shared" si="94"/>
        <v>187.13850000000002</v>
      </c>
      <c r="O306" s="10">
        <f t="shared" si="95"/>
        <v>4564.07</v>
      </c>
      <c r="P306" s="101"/>
      <c r="Q306" s="48">
        <v>4333</v>
      </c>
      <c r="R306" s="24"/>
      <c r="S306" s="45"/>
      <c r="T306" s="24"/>
      <c r="U306" s="24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24"/>
      <c r="AO306" s="24"/>
      <c r="AP306" s="24"/>
      <c r="AQ306" s="24"/>
      <c r="AR306" s="24"/>
      <c r="AS306" s="24">
        <v>231.07</v>
      </c>
      <c r="AT306" s="23"/>
      <c r="AU306" s="23"/>
      <c r="AV306" s="24"/>
    </row>
    <row r="307" spans="2:48" ht="12.75">
      <c r="B307" s="152">
        <v>24</v>
      </c>
      <c r="C307" s="37"/>
      <c r="D307" s="33"/>
      <c r="E307" s="88"/>
      <c r="F307" s="86"/>
      <c r="G307" s="8" t="s">
        <v>6</v>
      </c>
      <c r="H307" s="41">
        <v>3705.18</v>
      </c>
      <c r="I307" s="20">
        <v>2569.25</v>
      </c>
      <c r="J307" s="41"/>
      <c r="K307" s="212"/>
      <c r="L307" s="212"/>
      <c r="M307" s="212"/>
      <c r="N307" s="210">
        <f t="shared" si="94"/>
        <v>128.4625</v>
      </c>
      <c r="O307" s="10">
        <f t="shared" si="95"/>
        <v>3758.07</v>
      </c>
      <c r="P307" s="103"/>
      <c r="Q307" s="48">
        <v>3213</v>
      </c>
      <c r="R307" s="24"/>
      <c r="S307" s="24"/>
      <c r="T307" s="24"/>
      <c r="U307" s="24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24"/>
      <c r="AO307" s="24"/>
      <c r="AP307" s="24"/>
      <c r="AQ307" s="24"/>
      <c r="AR307" s="24"/>
      <c r="AS307" s="24">
        <v>231.07</v>
      </c>
      <c r="AT307" s="24"/>
      <c r="AU307" s="24">
        <v>314</v>
      </c>
      <c r="AV307" s="24"/>
    </row>
    <row r="308" spans="2:48" ht="12.75">
      <c r="B308" s="152">
        <v>24</v>
      </c>
      <c r="C308" s="37"/>
      <c r="D308" s="33"/>
      <c r="E308" s="88"/>
      <c r="F308" s="86"/>
      <c r="G308" s="8" t="s">
        <v>7</v>
      </c>
      <c r="H308" s="41">
        <v>3705.18</v>
      </c>
      <c r="I308" s="20">
        <v>2396.42</v>
      </c>
      <c r="J308" s="41"/>
      <c r="K308" s="212"/>
      <c r="L308" s="212"/>
      <c r="M308" s="212"/>
      <c r="N308" s="210">
        <f t="shared" si="94"/>
        <v>119.82100000000001</v>
      </c>
      <c r="O308" s="10">
        <f t="shared" si="95"/>
        <v>4317.07</v>
      </c>
      <c r="P308" s="101" t="s">
        <v>245</v>
      </c>
      <c r="Q308" s="48">
        <v>2498</v>
      </c>
      <c r="R308" s="24"/>
      <c r="S308" s="24"/>
      <c r="T308" s="24"/>
      <c r="U308" s="24"/>
      <c r="V308" s="48"/>
      <c r="W308" s="48">
        <v>779</v>
      </c>
      <c r="X308" s="48"/>
      <c r="Y308" s="48"/>
      <c r="Z308" s="48"/>
      <c r="AA308" s="48"/>
      <c r="AB308" s="48"/>
      <c r="AC308" s="48"/>
      <c r="AD308" s="48">
        <v>809</v>
      </c>
      <c r="AE308" s="48"/>
      <c r="AF308" s="48"/>
      <c r="AG308" s="48"/>
      <c r="AH308" s="48"/>
      <c r="AI308" s="48"/>
      <c r="AJ308" s="48"/>
      <c r="AK308" s="48"/>
      <c r="AL308" s="48"/>
      <c r="AM308" s="48"/>
      <c r="AN308" s="24"/>
      <c r="AO308" s="24"/>
      <c r="AP308" s="24"/>
      <c r="AQ308" s="24"/>
      <c r="AR308" s="24"/>
      <c r="AS308" s="24">
        <v>231.07</v>
      </c>
      <c r="AT308" s="23"/>
      <c r="AU308" s="24"/>
      <c r="AV308" s="24"/>
    </row>
    <row r="309" spans="2:48" ht="12.75">
      <c r="B309" s="152">
        <v>24</v>
      </c>
      <c r="C309" s="37"/>
      <c r="D309" s="33"/>
      <c r="E309" s="88"/>
      <c r="F309" s="86"/>
      <c r="G309" s="8" t="s">
        <v>8</v>
      </c>
      <c r="H309" s="41">
        <v>3705.18</v>
      </c>
      <c r="I309" s="20">
        <v>2621.18</v>
      </c>
      <c r="J309" s="41"/>
      <c r="K309" s="212"/>
      <c r="L309" s="212"/>
      <c r="M309" s="212"/>
      <c r="N309" s="210">
        <f t="shared" si="94"/>
        <v>131.059</v>
      </c>
      <c r="O309" s="10">
        <f t="shared" si="95"/>
        <v>5443.07</v>
      </c>
      <c r="P309" s="101" t="s">
        <v>174</v>
      </c>
      <c r="Q309" s="48">
        <v>2498</v>
      </c>
      <c r="R309" s="24">
        <v>2336</v>
      </c>
      <c r="S309" s="24"/>
      <c r="T309" s="24"/>
      <c r="U309" s="24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24"/>
      <c r="AO309" s="24"/>
      <c r="AP309" s="24"/>
      <c r="AQ309" s="24"/>
      <c r="AR309" s="24"/>
      <c r="AS309" s="24">
        <v>231.07</v>
      </c>
      <c r="AT309" s="24"/>
      <c r="AU309" s="24">
        <v>378</v>
      </c>
      <c r="AV309" s="24"/>
    </row>
    <row r="310" spans="2:48" ht="12.75">
      <c r="B310" s="152">
        <v>24</v>
      </c>
      <c r="C310" s="37"/>
      <c r="D310" s="33"/>
      <c r="E310" s="88"/>
      <c r="F310" s="86"/>
      <c r="G310" s="8" t="s">
        <v>9</v>
      </c>
      <c r="H310" s="41">
        <v>4143.36</v>
      </c>
      <c r="I310" s="20">
        <v>3311.07</v>
      </c>
      <c r="J310" s="41"/>
      <c r="K310" s="212"/>
      <c r="L310" s="212"/>
      <c r="M310" s="212"/>
      <c r="N310" s="210">
        <f t="shared" si="94"/>
        <v>165.5535</v>
      </c>
      <c r="O310" s="10">
        <f t="shared" si="95"/>
        <v>2745.01</v>
      </c>
      <c r="P310" s="101"/>
      <c r="Q310" s="48">
        <v>2498</v>
      </c>
      <c r="R310" s="24"/>
      <c r="S310" s="24"/>
      <c r="T310" s="24"/>
      <c r="U310" s="24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24"/>
      <c r="AO310" s="24"/>
      <c r="AP310" s="24"/>
      <c r="AQ310" s="24"/>
      <c r="AR310" s="24"/>
      <c r="AS310" s="24">
        <v>247.01</v>
      </c>
      <c r="AT310" s="24"/>
      <c r="AU310" s="24"/>
      <c r="AV310" s="24"/>
    </row>
    <row r="311" spans="2:48" ht="12.75">
      <c r="B311" s="152">
        <v>24</v>
      </c>
      <c r="C311" s="37"/>
      <c r="D311" s="33"/>
      <c r="E311" s="88"/>
      <c r="F311" s="86"/>
      <c r="G311" s="8" t="s">
        <v>10</v>
      </c>
      <c r="H311" s="41">
        <v>4143.36</v>
      </c>
      <c r="I311" s="20">
        <v>2691.26</v>
      </c>
      <c r="J311" s="41"/>
      <c r="K311" s="212"/>
      <c r="L311" s="212"/>
      <c r="M311" s="212"/>
      <c r="N311" s="210">
        <f t="shared" si="94"/>
        <v>134.56300000000002</v>
      </c>
      <c r="O311" s="10">
        <f t="shared" si="95"/>
        <v>2745.01</v>
      </c>
      <c r="P311" s="101"/>
      <c r="Q311" s="48">
        <v>2498</v>
      </c>
      <c r="R311" s="24"/>
      <c r="S311" s="24"/>
      <c r="T311" s="24"/>
      <c r="U311" s="24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24"/>
      <c r="AO311" s="24"/>
      <c r="AP311" s="24"/>
      <c r="AQ311" s="24"/>
      <c r="AR311" s="24"/>
      <c r="AS311" s="24">
        <v>247.01</v>
      </c>
      <c r="AT311" s="24"/>
      <c r="AU311" s="24"/>
      <c r="AV311" s="24"/>
    </row>
    <row r="312" spans="2:48" ht="12.75">
      <c r="B312" s="152">
        <v>24</v>
      </c>
      <c r="C312" s="37"/>
      <c r="D312" s="33"/>
      <c r="E312" s="88"/>
      <c r="F312" s="86"/>
      <c r="G312" s="8" t="s">
        <v>11</v>
      </c>
      <c r="H312" s="41">
        <v>4143.36</v>
      </c>
      <c r="I312" s="20">
        <v>3180.56</v>
      </c>
      <c r="J312" s="41"/>
      <c r="K312" s="212"/>
      <c r="L312" s="212"/>
      <c r="M312" s="212"/>
      <c r="N312" s="210">
        <f t="shared" si="94"/>
        <v>159.02800000000002</v>
      </c>
      <c r="O312" s="10">
        <f t="shared" si="95"/>
        <v>3686.01</v>
      </c>
      <c r="P312" s="101" t="s">
        <v>314</v>
      </c>
      <c r="Q312" s="24">
        <v>2498</v>
      </c>
      <c r="R312" s="24"/>
      <c r="S312" s="24"/>
      <c r="T312" s="24"/>
      <c r="U312" s="24"/>
      <c r="V312" s="48"/>
      <c r="W312" s="48"/>
      <c r="X312" s="48"/>
      <c r="Y312" s="48"/>
      <c r="Z312" s="48"/>
      <c r="AA312" s="48"/>
      <c r="AB312" s="48"/>
      <c r="AC312" s="48"/>
      <c r="AD312" s="48">
        <v>627</v>
      </c>
      <c r="AE312" s="48"/>
      <c r="AF312" s="48"/>
      <c r="AG312" s="48"/>
      <c r="AH312" s="48"/>
      <c r="AI312" s="48"/>
      <c r="AJ312" s="48"/>
      <c r="AK312" s="48"/>
      <c r="AL312" s="48"/>
      <c r="AM312" s="48"/>
      <c r="AN312" s="24"/>
      <c r="AO312" s="24"/>
      <c r="AP312" s="24"/>
      <c r="AQ312" s="24"/>
      <c r="AR312" s="24"/>
      <c r="AS312" s="24">
        <v>247.01</v>
      </c>
      <c r="AT312" s="24"/>
      <c r="AU312" s="24">
        <v>314</v>
      </c>
      <c r="AV312" s="24"/>
    </row>
    <row r="313" spans="2:48" ht="12.75">
      <c r="B313" s="152">
        <v>24</v>
      </c>
      <c r="C313" s="37"/>
      <c r="D313" s="33"/>
      <c r="E313" s="88"/>
      <c r="F313" s="86"/>
      <c r="G313" s="8" t="s">
        <v>12</v>
      </c>
      <c r="H313" s="41">
        <v>6246.9</v>
      </c>
      <c r="I313" s="20">
        <v>5769.59</v>
      </c>
      <c r="J313" s="41"/>
      <c r="K313" s="212"/>
      <c r="L313" s="212"/>
      <c r="M313" s="212"/>
      <c r="N313" s="210">
        <f t="shared" si="94"/>
        <v>288.47950000000003</v>
      </c>
      <c r="O313" s="10">
        <f t="shared" si="95"/>
        <v>2745.01</v>
      </c>
      <c r="P313" s="101"/>
      <c r="Q313" s="24">
        <v>2498</v>
      </c>
      <c r="R313" s="24"/>
      <c r="S313" s="24"/>
      <c r="T313" s="24"/>
      <c r="U313" s="24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24"/>
      <c r="AO313" s="24"/>
      <c r="AP313" s="24"/>
      <c r="AQ313" s="24"/>
      <c r="AR313" s="24"/>
      <c r="AS313" s="24">
        <v>247.01</v>
      </c>
      <c r="AT313" s="24"/>
      <c r="AU313" s="24"/>
      <c r="AV313" s="24"/>
    </row>
    <row r="314" spans="2:48" ht="12.75">
      <c r="B314" s="152">
        <v>24</v>
      </c>
      <c r="C314" s="37"/>
      <c r="D314" s="33"/>
      <c r="E314" s="88"/>
      <c r="F314" s="86"/>
      <c r="G314" s="8" t="s">
        <v>13</v>
      </c>
      <c r="H314" s="41">
        <v>5195.13</v>
      </c>
      <c r="I314" s="20">
        <v>7255.69</v>
      </c>
      <c r="J314" s="41"/>
      <c r="K314" s="212"/>
      <c r="L314" s="212"/>
      <c r="M314" s="212"/>
      <c r="N314" s="210">
        <f t="shared" si="94"/>
        <v>362.7845</v>
      </c>
      <c r="O314" s="10">
        <f t="shared" si="95"/>
        <v>2745.01</v>
      </c>
      <c r="P314" s="101"/>
      <c r="Q314" s="24">
        <v>2498</v>
      </c>
      <c r="R314" s="24"/>
      <c r="S314" s="24"/>
      <c r="T314" s="24"/>
      <c r="U314" s="24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24"/>
      <c r="AO314" s="24"/>
      <c r="AP314" s="24"/>
      <c r="AQ314" s="24"/>
      <c r="AR314" s="24"/>
      <c r="AS314" s="24">
        <v>247.01</v>
      </c>
      <c r="AT314" s="24"/>
      <c r="AU314" s="24"/>
      <c r="AV314" s="24"/>
    </row>
    <row r="315" spans="2:48" ht="13.5" thickBot="1">
      <c r="B315" s="152">
        <v>24</v>
      </c>
      <c r="C315" s="38"/>
      <c r="D315" s="35"/>
      <c r="E315" s="125"/>
      <c r="F315" s="87"/>
      <c r="G315" s="12" t="s">
        <v>14</v>
      </c>
      <c r="H315" s="41">
        <v>5195.13</v>
      </c>
      <c r="I315" s="21">
        <v>7642.9</v>
      </c>
      <c r="J315" s="41"/>
      <c r="K315" s="212"/>
      <c r="L315" s="212"/>
      <c r="M315" s="212"/>
      <c r="N315" s="210">
        <f t="shared" si="94"/>
        <v>382.145</v>
      </c>
      <c r="O315" s="10">
        <f t="shared" si="95"/>
        <v>4999.01</v>
      </c>
      <c r="P315" s="104"/>
      <c r="Q315" s="25">
        <v>4374</v>
      </c>
      <c r="R315" s="25"/>
      <c r="S315" s="25"/>
      <c r="T315" s="25"/>
      <c r="U315" s="25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25"/>
      <c r="AO315" s="25"/>
      <c r="AP315" s="25"/>
      <c r="AQ315" s="25"/>
      <c r="AR315" s="25"/>
      <c r="AS315" s="25">
        <v>247.01</v>
      </c>
      <c r="AT315" s="25"/>
      <c r="AU315" s="25">
        <v>378</v>
      </c>
      <c r="AV315" s="128">
        <f>AV303+I303+J303-K303-L303-M303-N303-O303</f>
        <v>-8521.419999999998</v>
      </c>
    </row>
    <row r="316" spans="2:48" ht="14.25" thickBot="1" thickTop="1">
      <c r="B316" s="151">
        <v>25</v>
      </c>
      <c r="C316" s="147" t="s">
        <v>66</v>
      </c>
      <c r="D316" s="67">
        <v>8</v>
      </c>
      <c r="E316" s="145" t="s">
        <v>107</v>
      </c>
      <c r="F316" s="84">
        <v>1134</v>
      </c>
      <c r="G316" s="50"/>
      <c r="H316" s="69">
        <v>51232.75</v>
      </c>
      <c r="I316" s="69">
        <v>50192.54000000001</v>
      </c>
      <c r="J316" s="69">
        <f>SUM(J317:J328)</f>
        <v>0</v>
      </c>
      <c r="K316" s="211">
        <f>SUM(K317:K328)</f>
        <v>0</v>
      </c>
      <c r="L316" s="211">
        <f>SUM(L317:L328)</f>
        <v>0</v>
      </c>
      <c r="M316" s="211">
        <f>SUM(M317:M328)</f>
        <v>641.7</v>
      </c>
      <c r="N316" s="215">
        <f>SUM(N317:N328)</f>
        <v>2509.627</v>
      </c>
      <c r="O316" s="16">
        <f aca="true" t="shared" si="96" ref="O316:O330">SUM(Q316:AU316)</f>
        <v>39448.75</v>
      </c>
      <c r="P316" s="99"/>
      <c r="Q316" s="11">
        <f>SUM(Q317:Q328)</f>
        <v>33164</v>
      </c>
      <c r="R316" s="11">
        <f>SUM(R317:R328)</f>
        <v>0</v>
      </c>
      <c r="S316" s="11">
        <f>SUM(S317:S328)</f>
        <v>433</v>
      </c>
      <c r="T316" s="11">
        <f>SUM(T317:T328)</f>
        <v>0</v>
      </c>
      <c r="U316" s="11">
        <f>SUM(U317:U328)</f>
        <v>0</v>
      </c>
      <c r="V316" s="50">
        <f aca="true" t="shared" si="97" ref="V316:AM316">SUM(V317:V328)</f>
        <v>0</v>
      </c>
      <c r="W316" s="50">
        <f t="shared" si="97"/>
        <v>779</v>
      </c>
      <c r="X316" s="50">
        <f t="shared" si="97"/>
        <v>0</v>
      </c>
      <c r="Y316" s="50">
        <f t="shared" si="97"/>
        <v>0</v>
      </c>
      <c r="Z316" s="50">
        <f>SUM(Z317:Z328)</f>
        <v>0</v>
      </c>
      <c r="AA316" s="50">
        <f>SUM(AA317:AA328)</f>
        <v>0</v>
      </c>
      <c r="AB316" s="50">
        <f t="shared" si="97"/>
        <v>0</v>
      </c>
      <c r="AC316" s="50">
        <f t="shared" si="97"/>
        <v>0</v>
      </c>
      <c r="AD316" s="50">
        <f t="shared" si="97"/>
        <v>824</v>
      </c>
      <c r="AE316" s="50">
        <f t="shared" si="97"/>
        <v>0</v>
      </c>
      <c r="AF316" s="50">
        <f t="shared" si="97"/>
        <v>0</v>
      </c>
      <c r="AG316" s="50">
        <f t="shared" si="97"/>
        <v>0</v>
      </c>
      <c r="AH316" s="50">
        <f t="shared" si="97"/>
        <v>0</v>
      </c>
      <c r="AI316" s="50">
        <f>SUM(AI317:AI328)</f>
        <v>0</v>
      </c>
      <c r="AJ316" s="50">
        <f>SUM(AJ317:AJ328)</f>
        <v>0</v>
      </c>
      <c r="AK316" s="50">
        <f>SUM(AK317:AK328)</f>
        <v>0</v>
      </c>
      <c r="AL316" s="50">
        <f>SUM(AL317:AL328)</f>
        <v>0</v>
      </c>
      <c r="AM316" s="50">
        <f t="shared" si="97"/>
        <v>0</v>
      </c>
      <c r="AN316" s="11">
        <f aca="true" t="shared" si="98" ref="AN316:AU316">SUM(AN317:AN328)</f>
        <v>0</v>
      </c>
      <c r="AO316" s="11">
        <f t="shared" si="98"/>
        <v>0</v>
      </c>
      <c r="AP316" s="11">
        <f t="shared" si="98"/>
        <v>0</v>
      </c>
      <c r="AQ316" s="11">
        <f>SUM(AQ317:AQ328)</f>
        <v>0</v>
      </c>
      <c r="AR316" s="11">
        <f>SUM(AR317:AR328)</f>
        <v>0</v>
      </c>
      <c r="AS316" s="11">
        <f t="shared" si="98"/>
        <v>2864.75</v>
      </c>
      <c r="AT316" s="11">
        <f t="shared" si="98"/>
        <v>0</v>
      </c>
      <c r="AU316" s="11">
        <f t="shared" si="98"/>
        <v>1384</v>
      </c>
      <c r="AV316" s="127">
        <v>-7366.28</v>
      </c>
    </row>
    <row r="317" spans="2:48" ht="13.5" thickTop="1">
      <c r="B317" s="152">
        <v>25</v>
      </c>
      <c r="C317" s="36" t="s">
        <v>105</v>
      </c>
      <c r="D317" s="31"/>
      <c r="E317" s="89"/>
      <c r="F317" s="85"/>
      <c r="G317" s="61" t="s">
        <v>3</v>
      </c>
      <c r="H317" s="41">
        <v>3698.66</v>
      </c>
      <c r="I317" s="19">
        <v>2756.51</v>
      </c>
      <c r="J317" s="41"/>
      <c r="K317" s="212"/>
      <c r="L317" s="212"/>
      <c r="M317" s="212">
        <v>641.7</v>
      </c>
      <c r="N317" s="210">
        <f aca="true" t="shared" si="99" ref="N317:N328">I317*0.05</f>
        <v>137.8255</v>
      </c>
      <c r="O317" s="10">
        <f t="shared" si="96"/>
        <v>4404.67</v>
      </c>
      <c r="P317" s="106"/>
      <c r="Q317" s="39">
        <v>4174</v>
      </c>
      <c r="R317" s="23"/>
      <c r="S317" s="23"/>
      <c r="T317" s="23"/>
      <c r="U317" s="23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23"/>
      <c r="AO317" s="23"/>
      <c r="AP317" s="23"/>
      <c r="AQ317" s="23"/>
      <c r="AR317" s="23"/>
      <c r="AS317" s="23">
        <v>230.67</v>
      </c>
      <c r="AT317" s="23"/>
      <c r="AU317" s="23"/>
      <c r="AV317" s="23"/>
    </row>
    <row r="318" spans="2:48" ht="12.75">
      <c r="B318" s="152">
        <v>25</v>
      </c>
      <c r="C318" s="37"/>
      <c r="D318" s="33"/>
      <c r="E318" s="90"/>
      <c r="F318" s="86"/>
      <c r="G318" s="62" t="s">
        <v>4</v>
      </c>
      <c r="H318" s="41">
        <v>3698.66</v>
      </c>
      <c r="I318" s="20">
        <v>3051.14</v>
      </c>
      <c r="J318" s="41"/>
      <c r="K318" s="212"/>
      <c r="L318" s="212"/>
      <c r="M318" s="212"/>
      <c r="N318" s="210">
        <f t="shared" si="99"/>
        <v>152.557</v>
      </c>
      <c r="O318" s="10">
        <f t="shared" si="96"/>
        <v>4404.67</v>
      </c>
      <c r="P318" s="101"/>
      <c r="Q318" s="48">
        <v>4174</v>
      </c>
      <c r="R318" s="24"/>
      <c r="S318" s="45"/>
      <c r="T318" s="24"/>
      <c r="U318" s="24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24"/>
      <c r="AO318" s="24"/>
      <c r="AP318" s="24"/>
      <c r="AQ318" s="24"/>
      <c r="AR318" s="24"/>
      <c r="AS318" s="24">
        <v>230.67</v>
      </c>
      <c r="AT318" s="23"/>
      <c r="AU318" s="24"/>
      <c r="AV318" s="24"/>
    </row>
    <row r="319" spans="2:48" ht="12.75">
      <c r="B319" s="152">
        <v>25</v>
      </c>
      <c r="C319" s="37"/>
      <c r="D319" s="33"/>
      <c r="E319" s="88"/>
      <c r="F319" s="86"/>
      <c r="G319" s="8" t="s">
        <v>5</v>
      </c>
      <c r="H319" s="41">
        <v>3698.66</v>
      </c>
      <c r="I319" s="20">
        <v>3358.5</v>
      </c>
      <c r="J319" s="41"/>
      <c r="K319" s="212"/>
      <c r="L319" s="212"/>
      <c r="M319" s="212"/>
      <c r="N319" s="210">
        <f t="shared" si="99"/>
        <v>167.925</v>
      </c>
      <c r="O319" s="10">
        <f t="shared" si="96"/>
        <v>4419.67</v>
      </c>
      <c r="P319" s="101" t="s">
        <v>181</v>
      </c>
      <c r="Q319" s="48">
        <v>4174</v>
      </c>
      <c r="R319" s="24"/>
      <c r="S319" s="45"/>
      <c r="T319" s="24"/>
      <c r="U319" s="24"/>
      <c r="V319" s="48"/>
      <c r="W319" s="48"/>
      <c r="X319" s="48"/>
      <c r="Y319" s="48"/>
      <c r="Z319" s="48"/>
      <c r="AA319" s="48"/>
      <c r="AB319" s="48"/>
      <c r="AC319" s="48"/>
      <c r="AD319" s="48">
        <v>15</v>
      </c>
      <c r="AE319" s="48"/>
      <c r="AF319" s="48"/>
      <c r="AG319" s="48"/>
      <c r="AH319" s="48"/>
      <c r="AI319" s="48"/>
      <c r="AJ319" s="48"/>
      <c r="AK319" s="48"/>
      <c r="AL319" s="48"/>
      <c r="AM319" s="48"/>
      <c r="AN319" s="24"/>
      <c r="AO319" s="24"/>
      <c r="AP319" s="24"/>
      <c r="AQ319" s="24"/>
      <c r="AR319" s="24"/>
      <c r="AS319" s="24">
        <v>230.67</v>
      </c>
      <c r="AT319" s="23"/>
      <c r="AU319" s="23"/>
      <c r="AV319" s="24"/>
    </row>
    <row r="320" spans="2:48" ht="12.75">
      <c r="B320" s="152">
        <v>25</v>
      </c>
      <c r="C320" s="37"/>
      <c r="D320" s="33"/>
      <c r="E320" s="88"/>
      <c r="F320" s="86"/>
      <c r="G320" s="8" t="s">
        <v>6</v>
      </c>
      <c r="H320" s="41">
        <v>3698.66</v>
      </c>
      <c r="I320" s="20">
        <v>3134.95</v>
      </c>
      <c r="J320" s="41"/>
      <c r="K320" s="212"/>
      <c r="L320" s="212"/>
      <c r="M320" s="212"/>
      <c r="N320" s="210">
        <f t="shared" si="99"/>
        <v>156.7475</v>
      </c>
      <c r="O320" s="10">
        <f t="shared" si="96"/>
        <v>3454.67</v>
      </c>
      <c r="P320" s="103"/>
      <c r="Q320" s="48">
        <v>2910</v>
      </c>
      <c r="R320" s="24"/>
      <c r="S320" s="24"/>
      <c r="T320" s="24"/>
      <c r="U320" s="24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24"/>
      <c r="AO320" s="24"/>
      <c r="AP320" s="24"/>
      <c r="AQ320" s="24"/>
      <c r="AR320" s="24"/>
      <c r="AS320" s="24">
        <v>230.67</v>
      </c>
      <c r="AT320" s="24"/>
      <c r="AU320" s="24">
        <v>314</v>
      </c>
      <c r="AV320" s="24"/>
    </row>
    <row r="321" spans="2:48" ht="12.75">
      <c r="B321" s="152">
        <v>25</v>
      </c>
      <c r="C321" s="37"/>
      <c r="D321" s="33"/>
      <c r="E321" s="88"/>
      <c r="F321" s="86"/>
      <c r="G321" s="8" t="s">
        <v>7</v>
      </c>
      <c r="H321" s="41">
        <v>3698.66</v>
      </c>
      <c r="I321" s="20">
        <v>4577.54</v>
      </c>
      <c r="J321" s="41"/>
      <c r="K321" s="212"/>
      <c r="L321" s="212"/>
      <c r="M321" s="212"/>
      <c r="N321" s="210">
        <f t="shared" si="99"/>
        <v>228.877</v>
      </c>
      <c r="O321" s="10">
        <f t="shared" si="96"/>
        <v>4080.67</v>
      </c>
      <c r="P321" s="101" t="s">
        <v>181</v>
      </c>
      <c r="Q321" s="48">
        <v>2262</v>
      </c>
      <c r="R321" s="24"/>
      <c r="S321" s="24"/>
      <c r="T321" s="24"/>
      <c r="U321" s="24"/>
      <c r="V321" s="48"/>
      <c r="W321" s="48">
        <v>779</v>
      </c>
      <c r="X321" s="48"/>
      <c r="Y321" s="48"/>
      <c r="Z321" s="48"/>
      <c r="AA321" s="48"/>
      <c r="AB321" s="48"/>
      <c r="AC321" s="48"/>
      <c r="AD321" s="48">
        <v>809</v>
      </c>
      <c r="AE321" s="48"/>
      <c r="AF321" s="48"/>
      <c r="AG321" s="48"/>
      <c r="AH321" s="48"/>
      <c r="AI321" s="48"/>
      <c r="AJ321" s="48"/>
      <c r="AK321" s="48"/>
      <c r="AL321" s="48"/>
      <c r="AM321" s="48"/>
      <c r="AN321" s="24"/>
      <c r="AO321" s="24"/>
      <c r="AP321" s="24"/>
      <c r="AQ321" s="24"/>
      <c r="AR321" s="24"/>
      <c r="AS321" s="24">
        <v>230.67</v>
      </c>
      <c r="AT321" s="23"/>
      <c r="AU321" s="24"/>
      <c r="AV321" s="24"/>
    </row>
    <row r="322" spans="2:48" ht="12.75">
      <c r="B322" s="152">
        <v>25</v>
      </c>
      <c r="C322" s="37"/>
      <c r="D322" s="33"/>
      <c r="E322" s="88"/>
      <c r="F322" s="86"/>
      <c r="G322" s="8" t="s">
        <v>8</v>
      </c>
      <c r="H322" s="41">
        <v>3701.45</v>
      </c>
      <c r="I322" s="20">
        <v>4409.56</v>
      </c>
      <c r="J322" s="41"/>
      <c r="K322" s="212"/>
      <c r="L322" s="212"/>
      <c r="M322" s="212"/>
      <c r="N322" s="210">
        <f t="shared" si="99"/>
        <v>220.47800000000004</v>
      </c>
      <c r="O322" s="10">
        <f t="shared" si="96"/>
        <v>2870.84</v>
      </c>
      <c r="P322" s="101"/>
      <c r="Q322" s="48">
        <v>2262</v>
      </c>
      <c r="R322" s="24"/>
      <c r="S322" s="24"/>
      <c r="T322" s="24"/>
      <c r="U322" s="24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24"/>
      <c r="AO322" s="24"/>
      <c r="AP322" s="24"/>
      <c r="AQ322" s="24"/>
      <c r="AR322" s="24"/>
      <c r="AS322" s="24">
        <v>230.84</v>
      </c>
      <c r="AT322" s="24"/>
      <c r="AU322" s="24">
        <v>378</v>
      </c>
      <c r="AV322" s="24"/>
    </row>
    <row r="323" spans="2:48" ht="12.75">
      <c r="B323" s="152">
        <v>25</v>
      </c>
      <c r="C323" s="37"/>
      <c r="D323" s="33"/>
      <c r="E323" s="88"/>
      <c r="F323" s="86"/>
      <c r="G323" s="8" t="s">
        <v>9</v>
      </c>
      <c r="H323" s="41">
        <v>4139.2</v>
      </c>
      <c r="I323" s="20">
        <v>3345.29</v>
      </c>
      <c r="J323" s="41"/>
      <c r="K323" s="212"/>
      <c r="L323" s="212"/>
      <c r="M323" s="212"/>
      <c r="N323" s="210">
        <f t="shared" si="99"/>
        <v>167.2645</v>
      </c>
      <c r="O323" s="10">
        <f t="shared" si="96"/>
        <v>2157.76</v>
      </c>
      <c r="P323" s="101"/>
      <c r="Q323" s="48">
        <v>1911</v>
      </c>
      <c r="R323" s="24"/>
      <c r="S323" s="24"/>
      <c r="T323" s="24"/>
      <c r="U323" s="24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24"/>
      <c r="AO323" s="24"/>
      <c r="AP323" s="24"/>
      <c r="AQ323" s="24"/>
      <c r="AR323" s="24"/>
      <c r="AS323" s="24">
        <v>246.76</v>
      </c>
      <c r="AT323" s="24"/>
      <c r="AU323" s="24"/>
      <c r="AV323" s="24"/>
    </row>
    <row r="324" spans="2:48" ht="12.75">
      <c r="B324" s="152">
        <v>25</v>
      </c>
      <c r="C324" s="37"/>
      <c r="D324" s="33"/>
      <c r="E324" s="88"/>
      <c r="F324" s="86"/>
      <c r="G324" s="8" t="s">
        <v>10</v>
      </c>
      <c r="H324" s="41">
        <v>4139.2</v>
      </c>
      <c r="I324" s="20">
        <v>2443.81</v>
      </c>
      <c r="J324" s="41"/>
      <c r="K324" s="212"/>
      <c r="L324" s="212"/>
      <c r="M324" s="212"/>
      <c r="N324" s="210">
        <f t="shared" si="99"/>
        <v>122.1905</v>
      </c>
      <c r="O324" s="10">
        <f t="shared" si="96"/>
        <v>2157.76</v>
      </c>
      <c r="P324" s="101"/>
      <c r="Q324" s="48">
        <v>1911</v>
      </c>
      <c r="R324" s="24"/>
      <c r="S324" s="24"/>
      <c r="T324" s="24"/>
      <c r="U324" s="24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24"/>
      <c r="AO324" s="24"/>
      <c r="AP324" s="24"/>
      <c r="AQ324" s="24"/>
      <c r="AR324" s="24"/>
      <c r="AS324" s="24">
        <v>246.76</v>
      </c>
      <c r="AT324" s="24"/>
      <c r="AU324" s="24"/>
      <c r="AV324" s="24"/>
    </row>
    <row r="325" spans="2:48" ht="12.75">
      <c r="B325" s="152">
        <v>25</v>
      </c>
      <c r="C325" s="37"/>
      <c r="D325" s="33"/>
      <c r="E325" s="88"/>
      <c r="F325" s="86"/>
      <c r="G325" s="8" t="s">
        <v>11</v>
      </c>
      <c r="H325" s="41">
        <v>4139.2</v>
      </c>
      <c r="I325" s="20">
        <v>5122.52</v>
      </c>
      <c r="J325" s="41"/>
      <c r="K325" s="212"/>
      <c r="L325" s="212"/>
      <c r="M325" s="212"/>
      <c r="N325" s="210">
        <f t="shared" si="99"/>
        <v>256.12600000000003</v>
      </c>
      <c r="O325" s="10">
        <f t="shared" si="96"/>
        <v>2471.76</v>
      </c>
      <c r="P325" s="101"/>
      <c r="Q325" s="24">
        <v>1911</v>
      </c>
      <c r="R325" s="24"/>
      <c r="S325" s="24"/>
      <c r="T325" s="24"/>
      <c r="U325" s="24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24"/>
      <c r="AO325" s="24"/>
      <c r="AP325" s="24"/>
      <c r="AQ325" s="24"/>
      <c r="AR325" s="24"/>
      <c r="AS325" s="24">
        <v>246.76</v>
      </c>
      <c r="AT325" s="24"/>
      <c r="AU325" s="24">
        <v>314</v>
      </c>
      <c r="AV325" s="24"/>
    </row>
    <row r="326" spans="2:48" ht="12.75">
      <c r="B326" s="152">
        <v>25</v>
      </c>
      <c r="C326" s="37"/>
      <c r="D326" s="33"/>
      <c r="E326" s="88"/>
      <c r="F326" s="86"/>
      <c r="G326" s="8" t="s">
        <v>12</v>
      </c>
      <c r="H326" s="41">
        <v>6240.6</v>
      </c>
      <c r="I326" s="20">
        <v>6048.16</v>
      </c>
      <c r="J326" s="41"/>
      <c r="K326" s="212"/>
      <c r="L326" s="212"/>
      <c r="M326" s="212"/>
      <c r="N326" s="210">
        <f t="shared" si="99"/>
        <v>302.408</v>
      </c>
      <c r="O326" s="10">
        <f t="shared" si="96"/>
        <v>2157.76</v>
      </c>
      <c r="P326" s="101"/>
      <c r="Q326" s="24">
        <v>1911</v>
      </c>
      <c r="R326" s="24"/>
      <c r="S326" s="24"/>
      <c r="T326" s="24"/>
      <c r="U326" s="24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24"/>
      <c r="AO326" s="24"/>
      <c r="AP326" s="24"/>
      <c r="AQ326" s="24"/>
      <c r="AR326" s="24"/>
      <c r="AS326" s="24">
        <v>246.76</v>
      </c>
      <c r="AT326" s="24"/>
      <c r="AU326" s="24"/>
      <c r="AV326" s="24"/>
    </row>
    <row r="327" spans="2:48" ht="12.75">
      <c r="B327" s="152">
        <v>25</v>
      </c>
      <c r="C327" s="37"/>
      <c r="D327" s="33"/>
      <c r="E327" s="88"/>
      <c r="F327" s="86"/>
      <c r="G327" s="8" t="s">
        <v>13</v>
      </c>
      <c r="H327" s="41">
        <v>5189.9</v>
      </c>
      <c r="I327" s="20">
        <v>4440.79</v>
      </c>
      <c r="J327" s="41"/>
      <c r="K327" s="212"/>
      <c r="L327" s="212"/>
      <c r="M327" s="212"/>
      <c r="N327" s="210">
        <f t="shared" si="99"/>
        <v>222.0395</v>
      </c>
      <c r="O327" s="10">
        <f t="shared" si="96"/>
        <v>2157.76</v>
      </c>
      <c r="P327" s="101"/>
      <c r="Q327" s="24">
        <v>1911</v>
      </c>
      <c r="R327" s="24"/>
      <c r="S327" s="24"/>
      <c r="T327" s="24"/>
      <c r="U327" s="24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24"/>
      <c r="AO327" s="24"/>
      <c r="AP327" s="24"/>
      <c r="AQ327" s="24"/>
      <c r="AR327" s="24"/>
      <c r="AS327" s="24">
        <v>246.76</v>
      </c>
      <c r="AT327" s="24"/>
      <c r="AU327" s="24"/>
      <c r="AV327" s="24"/>
    </row>
    <row r="328" spans="2:48" ht="13.5" thickBot="1">
      <c r="B328" s="154">
        <v>25</v>
      </c>
      <c r="C328" s="38"/>
      <c r="D328" s="35"/>
      <c r="E328" s="125"/>
      <c r="F328" s="87"/>
      <c r="G328" s="12" t="s">
        <v>14</v>
      </c>
      <c r="H328" s="43">
        <v>5189.9</v>
      </c>
      <c r="I328" s="21">
        <v>7503.77</v>
      </c>
      <c r="J328" s="43"/>
      <c r="K328" s="214"/>
      <c r="L328" s="214"/>
      <c r="M328" s="214"/>
      <c r="N328" s="210">
        <f t="shared" si="99"/>
        <v>375.18850000000003</v>
      </c>
      <c r="O328" s="10">
        <f t="shared" si="96"/>
        <v>4710.76</v>
      </c>
      <c r="P328" s="104" t="s">
        <v>365</v>
      </c>
      <c r="Q328" s="25">
        <v>3653</v>
      </c>
      <c r="R328" s="25"/>
      <c r="S328" s="25">
        <v>433</v>
      </c>
      <c r="T328" s="25"/>
      <c r="U328" s="25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25"/>
      <c r="AO328" s="25"/>
      <c r="AP328" s="25"/>
      <c r="AQ328" s="25"/>
      <c r="AR328" s="25"/>
      <c r="AS328" s="25">
        <v>246.76</v>
      </c>
      <c r="AT328" s="25"/>
      <c r="AU328" s="25">
        <v>378</v>
      </c>
      <c r="AV328" s="128">
        <f>AV316+I316+J316-K316-L316-M316-N316-O316</f>
        <v>226.18300000001182</v>
      </c>
    </row>
    <row r="329" spans="2:48" ht="14.25" thickBot="1" thickTop="1">
      <c r="B329" s="155">
        <v>26</v>
      </c>
      <c r="C329" s="73" t="s">
        <v>143</v>
      </c>
      <c r="D329" s="67">
        <v>61</v>
      </c>
      <c r="E329" s="145" t="s">
        <v>108</v>
      </c>
      <c r="F329" s="84">
        <v>1169.5</v>
      </c>
      <c r="G329" s="50"/>
      <c r="H329" s="69">
        <v>53435.740000000005</v>
      </c>
      <c r="I329" s="69">
        <v>52738.72</v>
      </c>
      <c r="J329" s="69">
        <f>SUM(J330:J341)</f>
        <v>0</v>
      </c>
      <c r="K329" s="211">
        <f>SUM(K330:K341)</f>
        <v>0</v>
      </c>
      <c r="L329" s="211">
        <f>SUM(L330:L341)</f>
        <v>0</v>
      </c>
      <c r="M329" s="211">
        <f>SUM(M330:M341)</f>
        <v>435.47</v>
      </c>
      <c r="N329" s="215">
        <f>SUM(N330:N341)</f>
        <v>2636.936</v>
      </c>
      <c r="O329" s="16">
        <f t="shared" si="96"/>
        <v>27978</v>
      </c>
      <c r="P329" s="99"/>
      <c r="Q329" s="11">
        <f>SUM(Q330:Q341)</f>
        <v>20825</v>
      </c>
      <c r="R329" s="11">
        <f>SUM(R330:R341)</f>
        <v>0</v>
      </c>
      <c r="S329" s="11">
        <f aca="true" t="shared" si="100" ref="S329:Z329">SUM(S330:S341)</f>
        <v>0</v>
      </c>
      <c r="T329" s="11">
        <f t="shared" si="100"/>
        <v>0</v>
      </c>
      <c r="U329" s="11">
        <f t="shared" si="100"/>
        <v>0</v>
      </c>
      <c r="V329" s="50">
        <f t="shared" si="100"/>
        <v>0</v>
      </c>
      <c r="W329" s="50">
        <f t="shared" si="100"/>
        <v>345</v>
      </c>
      <c r="X329" s="50">
        <f t="shared" si="100"/>
        <v>0</v>
      </c>
      <c r="Y329" s="50">
        <f t="shared" si="100"/>
        <v>0</v>
      </c>
      <c r="Z329" s="50">
        <f t="shared" si="100"/>
        <v>0</v>
      </c>
      <c r="AA329" s="50">
        <f>SUM(AA330:AA341)</f>
        <v>0</v>
      </c>
      <c r="AB329" s="50">
        <f aca="true" t="shared" si="101" ref="AB329:AU329">SUM(AB330:AB341)</f>
        <v>0</v>
      </c>
      <c r="AC329" s="50">
        <f aca="true" t="shared" si="102" ref="AC329:AH329">SUM(AC330:AC341)</f>
        <v>1525</v>
      </c>
      <c r="AD329" s="50">
        <f t="shared" si="102"/>
        <v>841</v>
      </c>
      <c r="AE329" s="50">
        <f t="shared" si="102"/>
        <v>0</v>
      </c>
      <c r="AF329" s="50">
        <f t="shared" si="102"/>
        <v>0</v>
      </c>
      <c r="AG329" s="50">
        <f t="shared" si="102"/>
        <v>0</v>
      </c>
      <c r="AH329" s="50">
        <f t="shared" si="102"/>
        <v>0</v>
      </c>
      <c r="AI329" s="50">
        <f t="shared" si="101"/>
        <v>0</v>
      </c>
      <c r="AJ329" s="50">
        <f t="shared" si="101"/>
        <v>0</v>
      </c>
      <c r="AK329" s="50">
        <f t="shared" si="101"/>
        <v>70</v>
      </c>
      <c r="AL329" s="50">
        <f t="shared" si="101"/>
        <v>0</v>
      </c>
      <c r="AM329" s="50">
        <f t="shared" si="101"/>
        <v>0</v>
      </c>
      <c r="AN329" s="11">
        <f t="shared" si="101"/>
        <v>0</v>
      </c>
      <c r="AO329" s="11">
        <f t="shared" si="101"/>
        <v>0</v>
      </c>
      <c r="AP329" s="11">
        <f t="shared" si="101"/>
        <v>0</v>
      </c>
      <c r="AQ329" s="11">
        <f>SUM(AQ330:AQ341)</f>
        <v>0</v>
      </c>
      <c r="AR329" s="11">
        <f>SUM(AR330:AR341)</f>
        <v>0</v>
      </c>
      <c r="AS329" s="11">
        <f t="shared" si="101"/>
        <v>2988.0000000000005</v>
      </c>
      <c r="AT329" s="11">
        <f t="shared" si="101"/>
        <v>0</v>
      </c>
      <c r="AU329" s="11">
        <f t="shared" si="101"/>
        <v>1384</v>
      </c>
      <c r="AV329" s="127">
        <v>1014.36</v>
      </c>
    </row>
    <row r="330" spans="2:48" ht="13.5" thickTop="1">
      <c r="B330" s="152">
        <v>26</v>
      </c>
      <c r="C330" s="36" t="s">
        <v>105</v>
      </c>
      <c r="D330" s="31"/>
      <c r="E330" s="89"/>
      <c r="F330" s="85"/>
      <c r="G330" s="61" t="s">
        <v>3</v>
      </c>
      <c r="H330" s="41">
        <v>3859.55</v>
      </c>
      <c r="I330" s="19">
        <v>2966.11</v>
      </c>
      <c r="J330" s="41"/>
      <c r="K330" s="212"/>
      <c r="L330" s="212"/>
      <c r="M330" s="212">
        <v>435.47</v>
      </c>
      <c r="N330" s="210">
        <f aca="true" t="shared" si="103" ref="N330:N341">I330*0.05</f>
        <v>148.30550000000002</v>
      </c>
      <c r="O330" s="10">
        <f t="shared" si="96"/>
        <v>2705.7</v>
      </c>
      <c r="P330" s="106"/>
      <c r="Q330" s="39">
        <v>2465</v>
      </c>
      <c r="R330" s="23"/>
      <c r="S330" s="23"/>
      <c r="T330" s="23"/>
      <c r="U330" s="23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23"/>
      <c r="AO330" s="23"/>
      <c r="AP330" s="23"/>
      <c r="AQ330" s="23"/>
      <c r="AR330" s="23"/>
      <c r="AS330" s="23">
        <v>240.7</v>
      </c>
      <c r="AT330" s="23"/>
      <c r="AU330" s="23"/>
      <c r="AV330" s="23"/>
    </row>
    <row r="331" spans="2:48" ht="12.75">
      <c r="B331" s="152">
        <v>26</v>
      </c>
      <c r="C331" s="37"/>
      <c r="D331" s="33"/>
      <c r="E331" s="90"/>
      <c r="F331" s="86"/>
      <c r="G331" s="62" t="s">
        <v>4</v>
      </c>
      <c r="H331" s="41">
        <v>3859.55</v>
      </c>
      <c r="I331" s="20">
        <v>6090.5</v>
      </c>
      <c r="J331" s="41"/>
      <c r="K331" s="212"/>
      <c r="L331" s="212"/>
      <c r="M331" s="212"/>
      <c r="N331" s="210">
        <f t="shared" si="103"/>
        <v>304.52500000000003</v>
      </c>
      <c r="O331" s="10">
        <f aca="true" t="shared" si="104" ref="O331:O341">SUM(Q331:AU331)</f>
        <v>2874.7</v>
      </c>
      <c r="P331" s="101"/>
      <c r="Q331" s="48">
        <v>2634</v>
      </c>
      <c r="R331" s="24"/>
      <c r="S331" s="45"/>
      <c r="T331" s="24"/>
      <c r="U331" s="24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24"/>
      <c r="AO331" s="24"/>
      <c r="AP331" s="24"/>
      <c r="AQ331" s="24"/>
      <c r="AR331" s="24"/>
      <c r="AS331" s="24">
        <v>240.7</v>
      </c>
      <c r="AT331" s="23"/>
      <c r="AU331" s="24"/>
      <c r="AV331" s="24"/>
    </row>
    <row r="332" spans="2:48" ht="12.75">
      <c r="B332" s="152">
        <v>26</v>
      </c>
      <c r="C332" s="37"/>
      <c r="D332" s="33"/>
      <c r="E332" s="88"/>
      <c r="F332" s="86"/>
      <c r="G332" s="8" t="s">
        <v>5</v>
      </c>
      <c r="H332" s="41">
        <v>3859.55</v>
      </c>
      <c r="I332" s="20">
        <v>4459.87</v>
      </c>
      <c r="J332" s="41"/>
      <c r="K332" s="212"/>
      <c r="L332" s="212"/>
      <c r="M332" s="212"/>
      <c r="N332" s="210">
        <f t="shared" si="103"/>
        <v>222.9935</v>
      </c>
      <c r="O332" s="10">
        <f t="shared" si="104"/>
        <v>2690.7</v>
      </c>
      <c r="P332" s="101"/>
      <c r="Q332" s="48">
        <v>2450</v>
      </c>
      <c r="R332" s="24"/>
      <c r="S332" s="45"/>
      <c r="T332" s="24"/>
      <c r="U332" s="24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24"/>
      <c r="AO332" s="24"/>
      <c r="AP332" s="24"/>
      <c r="AQ332" s="24"/>
      <c r="AR332" s="24"/>
      <c r="AS332" s="24">
        <v>240.7</v>
      </c>
      <c r="AT332" s="23"/>
      <c r="AU332" s="23"/>
      <c r="AV332" s="24"/>
    </row>
    <row r="333" spans="2:48" ht="12.75">
      <c r="B333" s="152">
        <v>26</v>
      </c>
      <c r="C333" s="37"/>
      <c r="D333" s="33"/>
      <c r="E333" s="88"/>
      <c r="F333" s="86"/>
      <c r="G333" s="8" t="s">
        <v>6</v>
      </c>
      <c r="H333" s="41">
        <v>3859.55</v>
      </c>
      <c r="I333" s="20">
        <v>3208.16</v>
      </c>
      <c r="J333" s="41"/>
      <c r="K333" s="212"/>
      <c r="L333" s="212"/>
      <c r="M333" s="212"/>
      <c r="N333" s="210">
        <f t="shared" si="103"/>
        <v>160.40800000000002</v>
      </c>
      <c r="O333" s="10">
        <f t="shared" si="104"/>
        <v>2442.7</v>
      </c>
      <c r="P333" s="103"/>
      <c r="Q333" s="48">
        <v>1888</v>
      </c>
      <c r="R333" s="24"/>
      <c r="S333" s="24"/>
      <c r="T333" s="24"/>
      <c r="U333" s="24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24"/>
      <c r="AO333" s="24"/>
      <c r="AP333" s="24"/>
      <c r="AQ333" s="24"/>
      <c r="AR333" s="24"/>
      <c r="AS333" s="24">
        <v>240.7</v>
      </c>
      <c r="AT333" s="24"/>
      <c r="AU333" s="24">
        <v>314</v>
      </c>
      <c r="AV333" s="24"/>
    </row>
    <row r="334" spans="2:48" ht="12.75">
      <c r="B334" s="152">
        <v>26</v>
      </c>
      <c r="C334" s="37"/>
      <c r="D334" s="33"/>
      <c r="E334" s="88"/>
      <c r="F334" s="86"/>
      <c r="G334" s="8" t="s">
        <v>7</v>
      </c>
      <c r="H334" s="41">
        <v>3859.55</v>
      </c>
      <c r="I334" s="20">
        <v>3683.86</v>
      </c>
      <c r="J334" s="41"/>
      <c r="K334" s="212"/>
      <c r="L334" s="212"/>
      <c r="M334" s="212"/>
      <c r="N334" s="210">
        <f t="shared" si="103"/>
        <v>184.193</v>
      </c>
      <c r="O334" s="10">
        <f t="shared" si="104"/>
        <v>1879.7</v>
      </c>
      <c r="P334" s="101"/>
      <c r="Q334" s="48">
        <v>1294</v>
      </c>
      <c r="R334" s="24"/>
      <c r="S334" s="24"/>
      <c r="T334" s="24"/>
      <c r="U334" s="24"/>
      <c r="V334" s="48"/>
      <c r="W334" s="48">
        <v>345</v>
      </c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24"/>
      <c r="AO334" s="24"/>
      <c r="AP334" s="24"/>
      <c r="AQ334" s="24"/>
      <c r="AR334" s="24"/>
      <c r="AS334" s="24">
        <v>240.7</v>
      </c>
      <c r="AT334" s="23"/>
      <c r="AU334" s="24"/>
      <c r="AV334" s="24"/>
    </row>
    <row r="335" spans="2:48" ht="12.75">
      <c r="B335" s="152">
        <v>26</v>
      </c>
      <c r="C335" s="37"/>
      <c r="D335" s="33"/>
      <c r="E335" s="88"/>
      <c r="F335" s="86"/>
      <c r="G335" s="8" t="s">
        <v>8</v>
      </c>
      <c r="H335" s="41">
        <v>3859.55</v>
      </c>
      <c r="I335" s="20">
        <v>3016.13</v>
      </c>
      <c r="J335" s="41"/>
      <c r="K335" s="212"/>
      <c r="L335" s="212"/>
      <c r="M335" s="212"/>
      <c r="N335" s="210">
        <f t="shared" si="103"/>
        <v>150.8065</v>
      </c>
      <c r="O335" s="10">
        <f t="shared" si="104"/>
        <v>1912.7</v>
      </c>
      <c r="P335" s="101"/>
      <c r="Q335" s="48">
        <v>1294</v>
      </c>
      <c r="R335" s="24"/>
      <c r="S335" s="24"/>
      <c r="T335" s="24"/>
      <c r="U335" s="24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24"/>
      <c r="AO335" s="24"/>
      <c r="AP335" s="24"/>
      <c r="AQ335" s="24"/>
      <c r="AR335" s="24"/>
      <c r="AS335" s="24">
        <v>240.7</v>
      </c>
      <c r="AT335" s="24"/>
      <c r="AU335" s="24">
        <v>378</v>
      </c>
      <c r="AV335" s="24"/>
    </row>
    <row r="336" spans="2:48" ht="12.75">
      <c r="B336" s="152">
        <v>26</v>
      </c>
      <c r="C336" s="37"/>
      <c r="D336" s="33"/>
      <c r="E336" s="88"/>
      <c r="F336" s="86"/>
      <c r="G336" s="8" t="s">
        <v>9</v>
      </c>
      <c r="H336" s="41">
        <v>4316</v>
      </c>
      <c r="I336" s="20">
        <v>2685.9</v>
      </c>
      <c r="J336" s="41"/>
      <c r="K336" s="212"/>
      <c r="L336" s="212"/>
      <c r="M336" s="212"/>
      <c r="N336" s="210">
        <f t="shared" si="103"/>
        <v>134.29500000000002</v>
      </c>
      <c r="O336" s="10">
        <f t="shared" si="104"/>
        <v>1551.3</v>
      </c>
      <c r="P336" s="101"/>
      <c r="Q336" s="48">
        <v>1294</v>
      </c>
      <c r="R336" s="24"/>
      <c r="S336" s="24"/>
      <c r="T336" s="24"/>
      <c r="U336" s="24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24"/>
      <c r="AO336" s="24"/>
      <c r="AP336" s="24"/>
      <c r="AQ336" s="24"/>
      <c r="AR336" s="24"/>
      <c r="AS336" s="24">
        <v>257.3</v>
      </c>
      <c r="AT336" s="24"/>
      <c r="AU336" s="24"/>
      <c r="AV336" s="24"/>
    </row>
    <row r="337" spans="2:48" ht="12.75">
      <c r="B337" s="152">
        <v>26</v>
      </c>
      <c r="C337" s="37"/>
      <c r="D337" s="33"/>
      <c r="E337" s="88"/>
      <c r="F337" s="86"/>
      <c r="G337" s="8" t="s">
        <v>10</v>
      </c>
      <c r="H337" s="41">
        <v>4316</v>
      </c>
      <c r="I337" s="20">
        <v>4146.94</v>
      </c>
      <c r="J337" s="41"/>
      <c r="K337" s="212"/>
      <c r="L337" s="212"/>
      <c r="M337" s="212"/>
      <c r="N337" s="210">
        <f t="shared" si="103"/>
        <v>207.34699999999998</v>
      </c>
      <c r="O337" s="10">
        <f t="shared" si="104"/>
        <v>1551.3</v>
      </c>
      <c r="P337" s="101"/>
      <c r="Q337" s="48">
        <v>1294</v>
      </c>
      <c r="R337" s="24"/>
      <c r="S337" s="24"/>
      <c r="T337" s="24"/>
      <c r="U337" s="24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24"/>
      <c r="AO337" s="24"/>
      <c r="AP337" s="24"/>
      <c r="AQ337" s="24"/>
      <c r="AR337" s="24"/>
      <c r="AS337" s="24">
        <v>257.3</v>
      </c>
      <c r="AT337" s="24"/>
      <c r="AU337" s="24"/>
      <c r="AV337" s="24"/>
    </row>
    <row r="338" spans="2:48" ht="12.75">
      <c r="B338" s="152">
        <v>26</v>
      </c>
      <c r="C338" s="37"/>
      <c r="D338" s="33"/>
      <c r="E338" s="88"/>
      <c r="F338" s="86"/>
      <c r="G338" s="8" t="s">
        <v>11</v>
      </c>
      <c r="H338" s="41">
        <v>4316</v>
      </c>
      <c r="I338" s="20">
        <v>3807.95</v>
      </c>
      <c r="J338" s="41"/>
      <c r="K338" s="212"/>
      <c r="L338" s="212"/>
      <c r="M338" s="212"/>
      <c r="N338" s="210">
        <f t="shared" si="103"/>
        <v>190.3975</v>
      </c>
      <c r="O338" s="10">
        <f t="shared" si="104"/>
        <v>1865.3</v>
      </c>
      <c r="P338" s="101"/>
      <c r="Q338" s="24">
        <v>1294</v>
      </c>
      <c r="R338" s="24"/>
      <c r="S338" s="24"/>
      <c r="T338" s="24"/>
      <c r="U338" s="24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24"/>
      <c r="AO338" s="24"/>
      <c r="AP338" s="24"/>
      <c r="AQ338" s="24"/>
      <c r="AR338" s="24"/>
      <c r="AS338" s="24">
        <v>257.3</v>
      </c>
      <c r="AT338" s="24"/>
      <c r="AU338" s="24">
        <v>314</v>
      </c>
      <c r="AV338" s="24"/>
    </row>
    <row r="339" spans="2:48" ht="12.75">
      <c r="B339" s="152">
        <v>26</v>
      </c>
      <c r="C339" s="37"/>
      <c r="D339" s="33"/>
      <c r="E339" s="88"/>
      <c r="F339" s="86"/>
      <c r="G339" s="8" t="s">
        <v>12</v>
      </c>
      <c r="H339" s="41">
        <v>6507.22</v>
      </c>
      <c r="I339" s="20">
        <v>7047.69</v>
      </c>
      <c r="J339" s="41"/>
      <c r="K339" s="212"/>
      <c r="L339" s="212"/>
      <c r="M339" s="212"/>
      <c r="N339" s="210">
        <f t="shared" si="103"/>
        <v>352.3845</v>
      </c>
      <c r="O339" s="10">
        <f t="shared" si="104"/>
        <v>2392.3</v>
      </c>
      <c r="P339" s="101" t="s">
        <v>172</v>
      </c>
      <c r="Q339" s="24">
        <v>1294</v>
      </c>
      <c r="R339" s="24"/>
      <c r="S339" s="24"/>
      <c r="T339" s="24"/>
      <c r="U339" s="24"/>
      <c r="V339" s="48"/>
      <c r="W339" s="48"/>
      <c r="X339" s="48"/>
      <c r="Y339" s="48"/>
      <c r="Z339" s="48"/>
      <c r="AA339" s="48"/>
      <c r="AB339" s="48"/>
      <c r="AC339" s="48"/>
      <c r="AD339" s="48">
        <v>841</v>
      </c>
      <c r="AE339" s="48"/>
      <c r="AF339" s="48"/>
      <c r="AG339" s="48"/>
      <c r="AH339" s="48"/>
      <c r="AI339" s="48"/>
      <c r="AJ339" s="48"/>
      <c r="AK339" s="48"/>
      <c r="AL339" s="48"/>
      <c r="AM339" s="48"/>
      <c r="AN339" s="24"/>
      <c r="AO339" s="24"/>
      <c r="AP339" s="24"/>
      <c r="AQ339" s="24"/>
      <c r="AR339" s="24"/>
      <c r="AS339" s="24">
        <v>257.3</v>
      </c>
      <c r="AT339" s="24"/>
      <c r="AU339" s="24"/>
      <c r="AV339" s="24"/>
    </row>
    <row r="340" spans="2:48" ht="12.75">
      <c r="B340" s="152">
        <v>26</v>
      </c>
      <c r="C340" s="37"/>
      <c r="D340" s="33"/>
      <c r="E340" s="88"/>
      <c r="F340" s="86"/>
      <c r="G340" s="8" t="s">
        <v>13</v>
      </c>
      <c r="H340" s="41">
        <v>5411.61</v>
      </c>
      <c r="I340" s="20">
        <v>3591.77</v>
      </c>
      <c r="J340" s="41"/>
      <c r="K340" s="212"/>
      <c r="L340" s="212"/>
      <c r="M340" s="212"/>
      <c r="N340" s="210">
        <f t="shared" si="103"/>
        <v>179.5885</v>
      </c>
      <c r="O340" s="10">
        <f t="shared" si="104"/>
        <v>1551.3</v>
      </c>
      <c r="P340" s="101"/>
      <c r="Q340" s="24">
        <v>1294</v>
      </c>
      <c r="R340" s="24"/>
      <c r="S340" s="24"/>
      <c r="T340" s="24"/>
      <c r="U340" s="24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24"/>
      <c r="AO340" s="24"/>
      <c r="AP340" s="24"/>
      <c r="AQ340" s="24"/>
      <c r="AR340" s="24"/>
      <c r="AS340" s="24">
        <v>257.3</v>
      </c>
      <c r="AT340" s="24"/>
      <c r="AU340" s="24"/>
      <c r="AV340" s="24"/>
    </row>
    <row r="341" spans="2:48" ht="13.5" thickBot="1">
      <c r="B341" s="152">
        <v>26</v>
      </c>
      <c r="C341" s="38"/>
      <c r="D341" s="35"/>
      <c r="E341" s="125"/>
      <c r="F341" s="87"/>
      <c r="G341" s="12" t="s">
        <v>14</v>
      </c>
      <c r="H341" s="41">
        <v>5411.61</v>
      </c>
      <c r="I341" s="21">
        <v>8033.84</v>
      </c>
      <c r="J341" s="41"/>
      <c r="K341" s="212"/>
      <c r="L341" s="212"/>
      <c r="M341" s="212"/>
      <c r="N341" s="210">
        <f t="shared" si="103"/>
        <v>401.692</v>
      </c>
      <c r="O341" s="10">
        <f t="shared" si="104"/>
        <v>4560.3</v>
      </c>
      <c r="P341" s="104" t="s">
        <v>366</v>
      </c>
      <c r="Q341" s="25">
        <v>2330</v>
      </c>
      <c r="R341" s="25"/>
      <c r="S341" s="25"/>
      <c r="T341" s="25"/>
      <c r="U341" s="25"/>
      <c r="V341" s="49"/>
      <c r="W341" s="49"/>
      <c r="X341" s="49"/>
      <c r="Y341" s="49"/>
      <c r="Z341" s="49"/>
      <c r="AA341" s="49"/>
      <c r="AB341" s="49"/>
      <c r="AC341" s="49">
        <v>1525</v>
      </c>
      <c r="AD341" s="49"/>
      <c r="AE341" s="49"/>
      <c r="AF341" s="49"/>
      <c r="AG341" s="49"/>
      <c r="AH341" s="49"/>
      <c r="AI341" s="49"/>
      <c r="AJ341" s="49"/>
      <c r="AK341" s="49">
        <v>70</v>
      </c>
      <c r="AL341" s="49"/>
      <c r="AM341" s="49"/>
      <c r="AN341" s="25"/>
      <c r="AO341" s="25"/>
      <c r="AP341" s="25"/>
      <c r="AQ341" s="25"/>
      <c r="AR341" s="25"/>
      <c r="AS341" s="25">
        <v>257.3</v>
      </c>
      <c r="AT341" s="25"/>
      <c r="AU341" s="25">
        <v>378</v>
      </c>
      <c r="AV341" s="128">
        <f>AV329+I329+J329-K329-L329-M329-N329-O329</f>
        <v>22702.674</v>
      </c>
    </row>
    <row r="342" spans="2:48" ht="14.25" thickBot="1" thickTop="1">
      <c r="B342" s="151">
        <v>27</v>
      </c>
      <c r="C342" s="147" t="s">
        <v>66</v>
      </c>
      <c r="D342" s="67">
        <v>2</v>
      </c>
      <c r="E342" s="145" t="s">
        <v>145</v>
      </c>
      <c r="F342" s="202">
        <v>949.6</v>
      </c>
      <c r="G342" s="188"/>
      <c r="H342" s="69">
        <v>51067.04</v>
      </c>
      <c r="I342" s="69">
        <v>30406.039999999997</v>
      </c>
      <c r="J342" s="69">
        <f>SUM(J343:J354)</f>
        <v>0</v>
      </c>
      <c r="K342" s="211">
        <f>SUM(K343:K354)</f>
        <v>0</v>
      </c>
      <c r="L342" s="211">
        <f>SUM(L343:L354)</f>
        <v>0</v>
      </c>
      <c r="M342" s="211">
        <f>SUM(M343:M354)</f>
        <v>0</v>
      </c>
      <c r="N342" s="215">
        <f>SUM(N343:N354)</f>
        <v>1520.302</v>
      </c>
      <c r="O342" s="16">
        <f aca="true" t="shared" si="105" ref="O342:O356">SUM(Q342:AU342)</f>
        <v>12970.3</v>
      </c>
      <c r="P342" s="99"/>
      <c r="Q342" s="11">
        <f>SUM(Q343:Q354)</f>
        <v>7432</v>
      </c>
      <c r="R342" s="11">
        <f>SUM(R343:R354)</f>
        <v>0</v>
      </c>
      <c r="S342" s="11">
        <f aca="true" t="shared" si="106" ref="S342:AU342">SUM(S343:S354)</f>
        <v>0</v>
      </c>
      <c r="T342" s="11">
        <f t="shared" si="106"/>
        <v>0</v>
      </c>
      <c r="U342" s="11">
        <f t="shared" si="106"/>
        <v>0</v>
      </c>
      <c r="V342" s="50">
        <f t="shared" si="106"/>
        <v>0</v>
      </c>
      <c r="W342" s="50">
        <f t="shared" si="106"/>
        <v>0</v>
      </c>
      <c r="X342" s="50">
        <f t="shared" si="106"/>
        <v>0</v>
      </c>
      <c r="Y342" s="50">
        <f t="shared" si="106"/>
        <v>0</v>
      </c>
      <c r="Z342" s="50">
        <f t="shared" si="106"/>
        <v>0</v>
      </c>
      <c r="AA342" s="50">
        <f>SUM(AA343:AA354)</f>
        <v>0</v>
      </c>
      <c r="AB342" s="50">
        <f t="shared" si="106"/>
        <v>0</v>
      </c>
      <c r="AC342" s="50">
        <f t="shared" si="106"/>
        <v>1525</v>
      </c>
      <c r="AD342" s="50">
        <f t="shared" si="106"/>
        <v>1029</v>
      </c>
      <c r="AE342" s="50">
        <f t="shared" si="106"/>
        <v>0</v>
      </c>
      <c r="AF342" s="50">
        <f t="shared" si="106"/>
        <v>0</v>
      </c>
      <c r="AG342" s="50">
        <f t="shared" si="106"/>
        <v>118</v>
      </c>
      <c r="AH342" s="50">
        <f t="shared" si="106"/>
        <v>0</v>
      </c>
      <c r="AI342" s="50">
        <f>SUM(AI343:AI354)</f>
        <v>0</v>
      </c>
      <c r="AJ342" s="50">
        <f>SUM(AJ343:AJ354)</f>
        <v>0</v>
      </c>
      <c r="AK342" s="50">
        <f>SUM(AK343:AK354)</f>
        <v>0</v>
      </c>
      <c r="AL342" s="50">
        <f>SUM(AL343:AL354)</f>
        <v>0</v>
      </c>
      <c r="AM342" s="50">
        <f t="shared" si="106"/>
        <v>0</v>
      </c>
      <c r="AN342" s="11">
        <f t="shared" si="106"/>
        <v>0</v>
      </c>
      <c r="AO342" s="11">
        <f t="shared" si="106"/>
        <v>0</v>
      </c>
      <c r="AP342" s="11">
        <f t="shared" si="106"/>
        <v>0</v>
      </c>
      <c r="AQ342" s="11">
        <f>SUM(AQ343:AQ354)</f>
        <v>0</v>
      </c>
      <c r="AR342" s="11">
        <f>SUM(AR343:AR354)</f>
        <v>0</v>
      </c>
      <c r="AS342" s="11">
        <f t="shared" si="106"/>
        <v>2866.3</v>
      </c>
      <c r="AT342" s="11">
        <f t="shared" si="106"/>
        <v>0</v>
      </c>
      <c r="AU342" s="11">
        <f t="shared" si="106"/>
        <v>0</v>
      </c>
      <c r="AV342" s="127">
        <v>0</v>
      </c>
    </row>
    <row r="343" spans="2:48" ht="13.5" thickTop="1">
      <c r="B343" s="152">
        <v>27</v>
      </c>
      <c r="C343" s="36"/>
      <c r="D343" s="31"/>
      <c r="E343" s="88"/>
      <c r="F343" s="190"/>
      <c r="G343" s="61" t="s">
        <v>3</v>
      </c>
      <c r="H343" s="41">
        <v>0</v>
      </c>
      <c r="I343" s="19">
        <v>0</v>
      </c>
      <c r="J343" s="41"/>
      <c r="K343" s="212"/>
      <c r="L343" s="212"/>
      <c r="M343" s="212"/>
      <c r="N343" s="210">
        <f aca="true" t="shared" si="107" ref="N343:N354">I343*0.05</f>
        <v>0</v>
      </c>
      <c r="O343" s="10">
        <f t="shared" si="105"/>
        <v>0</v>
      </c>
      <c r="P343" s="106"/>
      <c r="Q343" s="39"/>
      <c r="R343" s="23"/>
      <c r="S343" s="23"/>
      <c r="T343" s="23"/>
      <c r="U343" s="23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23"/>
      <c r="AO343" s="23"/>
      <c r="AP343" s="23"/>
      <c r="AQ343" s="23"/>
      <c r="AR343" s="23"/>
      <c r="AS343" s="23"/>
      <c r="AT343" s="23"/>
      <c r="AU343" s="23"/>
      <c r="AV343" s="23"/>
    </row>
    <row r="344" spans="2:48" ht="12.75">
      <c r="B344" s="152">
        <v>27</v>
      </c>
      <c r="C344" s="37"/>
      <c r="D344" s="33"/>
      <c r="E344" s="90"/>
      <c r="F344" s="86"/>
      <c r="G344" s="62" t="s">
        <v>4</v>
      </c>
      <c r="H344" s="41">
        <v>0</v>
      </c>
      <c r="I344" s="20">
        <v>0</v>
      </c>
      <c r="J344" s="41"/>
      <c r="K344" s="212"/>
      <c r="L344" s="212"/>
      <c r="M344" s="212"/>
      <c r="N344" s="210">
        <f t="shared" si="107"/>
        <v>0</v>
      </c>
      <c r="O344" s="10">
        <f t="shared" si="105"/>
        <v>0</v>
      </c>
      <c r="P344" s="101"/>
      <c r="Q344" s="48"/>
      <c r="R344" s="24"/>
      <c r="S344" s="45"/>
      <c r="T344" s="24"/>
      <c r="U344" s="24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24"/>
      <c r="AO344" s="24"/>
      <c r="AP344" s="24"/>
      <c r="AQ344" s="24"/>
      <c r="AR344" s="24"/>
      <c r="AS344" s="24"/>
      <c r="AT344" s="23"/>
      <c r="AU344" s="24"/>
      <c r="AV344" s="24"/>
    </row>
    <row r="345" spans="2:48" ht="12.75">
      <c r="B345" s="152">
        <v>27</v>
      </c>
      <c r="C345" s="37"/>
      <c r="D345" s="33"/>
      <c r="E345" s="88"/>
      <c r="F345" s="86"/>
      <c r="G345" s="8" t="s">
        <v>5</v>
      </c>
      <c r="H345" s="41">
        <v>4417.56</v>
      </c>
      <c r="I345" s="20">
        <v>164.17</v>
      </c>
      <c r="J345" s="41"/>
      <c r="K345" s="212"/>
      <c r="L345" s="212"/>
      <c r="M345" s="212"/>
      <c r="N345" s="210">
        <f t="shared" si="107"/>
        <v>8.208499999999999</v>
      </c>
      <c r="O345" s="10">
        <f t="shared" si="105"/>
        <v>2059.5</v>
      </c>
      <c r="P345" s="101"/>
      <c r="Q345" s="48">
        <v>1666</v>
      </c>
      <c r="R345" s="24"/>
      <c r="S345" s="45"/>
      <c r="T345" s="24"/>
      <c r="U345" s="24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>
        <v>118</v>
      </c>
      <c r="AH345" s="48"/>
      <c r="AI345" s="48"/>
      <c r="AJ345" s="48"/>
      <c r="AK345" s="48"/>
      <c r="AL345" s="48"/>
      <c r="AM345" s="48"/>
      <c r="AN345" s="24"/>
      <c r="AO345" s="24"/>
      <c r="AP345" s="24"/>
      <c r="AQ345" s="24"/>
      <c r="AR345" s="24"/>
      <c r="AS345" s="24">
        <v>275.5</v>
      </c>
      <c r="AT345" s="23"/>
      <c r="AU345" s="23"/>
      <c r="AV345" s="24"/>
    </row>
    <row r="346" spans="2:48" ht="12.75">
      <c r="B346" s="152">
        <v>27</v>
      </c>
      <c r="C346" s="37"/>
      <c r="D346" s="33"/>
      <c r="E346" s="88"/>
      <c r="F346" s="86"/>
      <c r="G346" s="8" t="s">
        <v>6</v>
      </c>
      <c r="H346" s="41">
        <v>4417.56</v>
      </c>
      <c r="I346" s="20">
        <v>1416.53</v>
      </c>
      <c r="J346" s="41"/>
      <c r="K346" s="212"/>
      <c r="L346" s="212"/>
      <c r="M346" s="212"/>
      <c r="N346" s="210">
        <f t="shared" si="107"/>
        <v>70.8265</v>
      </c>
      <c r="O346" s="10">
        <f t="shared" si="105"/>
        <v>921.29</v>
      </c>
      <c r="P346" s="103" t="s">
        <v>209</v>
      </c>
      <c r="Q346" s="48">
        <v>492</v>
      </c>
      <c r="R346" s="24"/>
      <c r="S346" s="24"/>
      <c r="T346" s="24"/>
      <c r="U346" s="24"/>
      <c r="V346" s="48"/>
      <c r="W346" s="48"/>
      <c r="X346" s="48"/>
      <c r="Y346" s="48"/>
      <c r="Z346" s="48"/>
      <c r="AA346" s="48"/>
      <c r="AB346" s="48"/>
      <c r="AC346" s="48"/>
      <c r="AD346" s="48">
        <v>154</v>
      </c>
      <c r="AE346" s="48"/>
      <c r="AF346" s="48"/>
      <c r="AG346" s="48"/>
      <c r="AH346" s="48"/>
      <c r="AI346" s="48"/>
      <c r="AJ346" s="48"/>
      <c r="AK346" s="48"/>
      <c r="AL346" s="48"/>
      <c r="AM346" s="48"/>
      <c r="AN346" s="24"/>
      <c r="AO346" s="24"/>
      <c r="AP346" s="24"/>
      <c r="AQ346" s="24"/>
      <c r="AR346" s="24"/>
      <c r="AS346" s="24">
        <v>275.29</v>
      </c>
      <c r="AT346" s="24"/>
      <c r="AU346" s="24"/>
      <c r="AV346" s="24"/>
    </row>
    <row r="347" spans="2:48" ht="12.75">
      <c r="B347" s="152">
        <v>27</v>
      </c>
      <c r="C347" s="37"/>
      <c r="D347" s="33"/>
      <c r="E347" s="88"/>
      <c r="F347" s="86"/>
      <c r="G347" s="8" t="s">
        <v>7</v>
      </c>
      <c r="H347" s="41">
        <v>4414.3</v>
      </c>
      <c r="I347" s="20">
        <v>1684.04</v>
      </c>
      <c r="J347" s="41"/>
      <c r="K347" s="212"/>
      <c r="L347" s="212"/>
      <c r="M347" s="212"/>
      <c r="N347" s="210">
        <f t="shared" si="107"/>
        <v>84.202</v>
      </c>
      <c r="O347" s="10">
        <f t="shared" si="105"/>
        <v>1642.29</v>
      </c>
      <c r="P347" s="101" t="s">
        <v>246</v>
      </c>
      <c r="Q347" s="48">
        <v>492</v>
      </c>
      <c r="R347" s="24"/>
      <c r="S347" s="24"/>
      <c r="T347" s="24"/>
      <c r="U347" s="24"/>
      <c r="V347" s="48"/>
      <c r="W347" s="48"/>
      <c r="X347" s="48"/>
      <c r="Y347" s="48"/>
      <c r="Z347" s="48"/>
      <c r="AA347" s="48"/>
      <c r="AB347" s="48"/>
      <c r="AC347" s="48"/>
      <c r="AD347" s="48">
        <v>875</v>
      </c>
      <c r="AE347" s="48"/>
      <c r="AF347" s="48"/>
      <c r="AG347" s="48"/>
      <c r="AH347" s="48"/>
      <c r="AI347" s="48"/>
      <c r="AJ347" s="48"/>
      <c r="AK347" s="48"/>
      <c r="AL347" s="48"/>
      <c r="AM347" s="48"/>
      <c r="AN347" s="24"/>
      <c r="AO347" s="24"/>
      <c r="AP347" s="24"/>
      <c r="AQ347" s="24"/>
      <c r="AR347" s="24"/>
      <c r="AS347" s="24">
        <v>275.29</v>
      </c>
      <c r="AT347" s="23"/>
      <c r="AU347" s="24"/>
      <c r="AV347" s="24"/>
    </row>
    <row r="348" spans="2:48" ht="12.75">
      <c r="B348" s="152">
        <v>27</v>
      </c>
      <c r="C348" s="37"/>
      <c r="D348" s="33"/>
      <c r="E348" s="88"/>
      <c r="F348" s="86"/>
      <c r="G348" s="8" t="s">
        <v>8</v>
      </c>
      <c r="H348" s="41">
        <v>4414.3</v>
      </c>
      <c r="I348" s="20">
        <v>3238.23</v>
      </c>
      <c r="J348" s="41"/>
      <c r="K348" s="212"/>
      <c r="L348" s="212"/>
      <c r="M348" s="212"/>
      <c r="N348" s="210">
        <f t="shared" si="107"/>
        <v>161.91150000000002</v>
      </c>
      <c r="O348" s="10">
        <f t="shared" si="105"/>
        <v>767.29</v>
      </c>
      <c r="P348" s="101"/>
      <c r="Q348" s="48">
        <v>492</v>
      </c>
      <c r="R348" s="24"/>
      <c r="S348" s="24"/>
      <c r="T348" s="24"/>
      <c r="U348" s="24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24"/>
      <c r="AO348" s="24"/>
      <c r="AP348" s="24"/>
      <c r="AQ348" s="24"/>
      <c r="AR348" s="24"/>
      <c r="AS348" s="24">
        <v>275.29</v>
      </c>
      <c r="AT348" s="24"/>
      <c r="AU348" s="24"/>
      <c r="AV348" s="24"/>
    </row>
    <row r="349" spans="2:48" ht="12.75">
      <c r="B349" s="152">
        <v>27</v>
      </c>
      <c r="C349" s="37"/>
      <c r="D349" s="33"/>
      <c r="E349" s="88"/>
      <c r="F349" s="86"/>
      <c r="G349" s="8" t="s">
        <v>9</v>
      </c>
      <c r="H349" s="41">
        <v>4936.36</v>
      </c>
      <c r="I349" s="20">
        <v>2122.75</v>
      </c>
      <c r="J349" s="41"/>
      <c r="K349" s="212"/>
      <c r="L349" s="212"/>
      <c r="M349" s="212"/>
      <c r="N349" s="210">
        <f t="shared" si="107"/>
        <v>106.1375</v>
      </c>
      <c r="O349" s="10">
        <f t="shared" si="105"/>
        <v>786.28</v>
      </c>
      <c r="P349" s="101"/>
      <c r="Q349" s="48">
        <v>492</v>
      </c>
      <c r="R349" s="24"/>
      <c r="S349" s="24"/>
      <c r="T349" s="24"/>
      <c r="U349" s="24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24"/>
      <c r="AO349" s="24"/>
      <c r="AP349" s="24"/>
      <c r="AQ349" s="24"/>
      <c r="AR349" s="24"/>
      <c r="AS349" s="24">
        <v>294.28</v>
      </c>
      <c r="AT349" s="24"/>
      <c r="AU349" s="24"/>
      <c r="AV349" s="24"/>
    </row>
    <row r="350" spans="2:48" ht="12.75">
      <c r="B350" s="152">
        <v>27</v>
      </c>
      <c r="C350" s="37"/>
      <c r="D350" s="33"/>
      <c r="E350" s="88"/>
      <c r="F350" s="86"/>
      <c r="G350" s="8" t="s">
        <v>10</v>
      </c>
      <c r="H350" s="41">
        <v>4936.36</v>
      </c>
      <c r="I350" s="20">
        <v>4781.15</v>
      </c>
      <c r="J350" s="41"/>
      <c r="K350" s="212"/>
      <c r="L350" s="212"/>
      <c r="M350" s="212"/>
      <c r="N350" s="210">
        <f t="shared" si="107"/>
        <v>239.0575</v>
      </c>
      <c r="O350" s="10">
        <f t="shared" si="105"/>
        <v>786.13</v>
      </c>
      <c r="P350" s="101"/>
      <c r="Q350" s="48">
        <v>492</v>
      </c>
      <c r="R350" s="24"/>
      <c r="S350" s="24"/>
      <c r="T350" s="24"/>
      <c r="U350" s="24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24"/>
      <c r="AO350" s="24"/>
      <c r="AP350" s="24"/>
      <c r="AQ350" s="24"/>
      <c r="AR350" s="24"/>
      <c r="AS350" s="24">
        <v>294.13</v>
      </c>
      <c r="AT350" s="24"/>
      <c r="AU350" s="24"/>
      <c r="AV350" s="24"/>
    </row>
    <row r="351" spans="2:48" ht="12.75">
      <c r="B351" s="152">
        <v>27</v>
      </c>
      <c r="C351" s="37"/>
      <c r="D351" s="33"/>
      <c r="E351" s="88"/>
      <c r="F351" s="86"/>
      <c r="G351" s="8" t="s">
        <v>11</v>
      </c>
      <c r="H351" s="41">
        <v>4935.32</v>
      </c>
      <c r="I351" s="20">
        <v>1971.99</v>
      </c>
      <c r="J351" s="41"/>
      <c r="K351" s="212"/>
      <c r="L351" s="212"/>
      <c r="M351" s="212"/>
      <c r="N351" s="210">
        <f t="shared" si="107"/>
        <v>98.5995</v>
      </c>
      <c r="O351" s="10">
        <f t="shared" si="105"/>
        <v>786.13</v>
      </c>
      <c r="P351" s="101"/>
      <c r="Q351" s="24">
        <v>492</v>
      </c>
      <c r="R351" s="24"/>
      <c r="S351" s="24"/>
      <c r="T351" s="24"/>
      <c r="U351" s="24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24"/>
      <c r="AO351" s="24"/>
      <c r="AP351" s="24"/>
      <c r="AQ351" s="24"/>
      <c r="AR351" s="24"/>
      <c r="AS351" s="24">
        <v>294.13</v>
      </c>
      <c r="AT351" s="24"/>
      <c r="AU351" s="24"/>
      <c r="AV351" s="24"/>
    </row>
    <row r="352" spans="2:48" ht="12.75">
      <c r="B352" s="152">
        <v>27</v>
      </c>
      <c r="C352" s="37"/>
      <c r="D352" s="33"/>
      <c r="E352" s="88"/>
      <c r="F352" s="86"/>
      <c r="G352" s="8" t="s">
        <v>12</v>
      </c>
      <c r="H352" s="41">
        <v>7437.04</v>
      </c>
      <c r="I352" s="20">
        <v>5955.02</v>
      </c>
      <c r="J352" s="41"/>
      <c r="K352" s="212"/>
      <c r="L352" s="212"/>
      <c r="M352" s="212"/>
      <c r="N352" s="210">
        <f t="shared" si="107"/>
        <v>297.75100000000003</v>
      </c>
      <c r="O352" s="10">
        <f t="shared" si="105"/>
        <v>786.13</v>
      </c>
      <c r="P352" s="101"/>
      <c r="Q352" s="24">
        <v>492</v>
      </c>
      <c r="R352" s="24"/>
      <c r="S352" s="24"/>
      <c r="T352" s="24"/>
      <c r="U352" s="24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24"/>
      <c r="AO352" s="24"/>
      <c r="AP352" s="24"/>
      <c r="AQ352" s="24"/>
      <c r="AR352" s="24"/>
      <c r="AS352" s="24">
        <v>294.13</v>
      </c>
      <c r="AT352" s="24"/>
      <c r="AU352" s="24"/>
      <c r="AV352" s="24"/>
    </row>
    <row r="353" spans="2:48" ht="12.75">
      <c r="B353" s="152">
        <v>27</v>
      </c>
      <c r="C353" s="37"/>
      <c r="D353" s="33"/>
      <c r="E353" s="88"/>
      <c r="F353" s="86"/>
      <c r="G353" s="8" t="s">
        <v>13</v>
      </c>
      <c r="H353" s="41">
        <v>4972.06</v>
      </c>
      <c r="I353" s="20">
        <v>3308.75</v>
      </c>
      <c r="J353" s="41"/>
      <c r="K353" s="212"/>
      <c r="L353" s="212"/>
      <c r="M353" s="212"/>
      <c r="N353" s="210">
        <f t="shared" si="107"/>
        <v>165.4375</v>
      </c>
      <c r="O353" s="10">
        <f t="shared" si="105"/>
        <v>786.13</v>
      </c>
      <c r="P353" s="101"/>
      <c r="Q353" s="24">
        <v>492</v>
      </c>
      <c r="R353" s="24"/>
      <c r="S353" s="24"/>
      <c r="T353" s="24"/>
      <c r="U353" s="24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24"/>
      <c r="AO353" s="24"/>
      <c r="AP353" s="24"/>
      <c r="AQ353" s="24"/>
      <c r="AR353" s="24"/>
      <c r="AS353" s="24">
        <v>294.13</v>
      </c>
      <c r="AT353" s="24"/>
      <c r="AU353" s="24"/>
      <c r="AV353" s="24"/>
    </row>
    <row r="354" spans="2:48" ht="13.5" thickBot="1">
      <c r="B354" s="152">
        <v>27</v>
      </c>
      <c r="C354" s="183"/>
      <c r="D354" s="63"/>
      <c r="E354" s="125"/>
      <c r="F354" s="189"/>
      <c r="G354" s="12" t="s">
        <v>14</v>
      </c>
      <c r="H354" s="43">
        <v>6186.18</v>
      </c>
      <c r="I354" s="21">
        <v>5763.41</v>
      </c>
      <c r="J354" s="43"/>
      <c r="K354" s="214"/>
      <c r="L354" s="214"/>
      <c r="M354" s="214"/>
      <c r="N354" s="210">
        <f t="shared" si="107"/>
        <v>288.1705</v>
      </c>
      <c r="O354" s="10">
        <f t="shared" si="105"/>
        <v>3649.13</v>
      </c>
      <c r="P354" s="104"/>
      <c r="Q354" s="25">
        <v>1830</v>
      </c>
      <c r="R354" s="25"/>
      <c r="S354" s="25"/>
      <c r="T354" s="25"/>
      <c r="U354" s="25"/>
      <c r="V354" s="49"/>
      <c r="W354" s="49"/>
      <c r="X354" s="49"/>
      <c r="Y354" s="49"/>
      <c r="Z354" s="49"/>
      <c r="AA354" s="49"/>
      <c r="AB354" s="49"/>
      <c r="AC354" s="49">
        <v>1525</v>
      </c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25"/>
      <c r="AO354" s="25"/>
      <c r="AP354" s="25"/>
      <c r="AQ354" s="25"/>
      <c r="AR354" s="25"/>
      <c r="AS354" s="25">
        <v>294.13</v>
      </c>
      <c r="AT354" s="25"/>
      <c r="AU354" s="25"/>
      <c r="AV354" s="128">
        <f>AV342+I342+J342-K342-L342-M342-N342-O342</f>
        <v>15915.437999999998</v>
      </c>
    </row>
    <row r="355" spans="2:48" ht="14.25" thickBot="1" thickTop="1">
      <c r="B355" s="151">
        <v>28</v>
      </c>
      <c r="C355" s="147" t="s">
        <v>66</v>
      </c>
      <c r="D355" s="67" t="s">
        <v>144</v>
      </c>
      <c r="E355" s="145" t="s">
        <v>145</v>
      </c>
      <c r="F355" s="202">
        <v>950.7</v>
      </c>
      <c r="G355" s="188"/>
      <c r="H355" s="69">
        <v>52366.14</v>
      </c>
      <c r="I355" s="69">
        <v>36916.65</v>
      </c>
      <c r="J355" s="69">
        <f>SUM(J356:J367)</f>
        <v>0</v>
      </c>
      <c r="K355" s="211">
        <f>SUM(K356:K367)</f>
        <v>0</v>
      </c>
      <c r="L355" s="211">
        <f>SUM(L356:L367)</f>
        <v>0</v>
      </c>
      <c r="M355" s="211">
        <f>SUM(M356:M367)</f>
        <v>0</v>
      </c>
      <c r="N355" s="215">
        <f>SUM(N356:N367)</f>
        <v>1845.8325000000004</v>
      </c>
      <c r="O355" s="16">
        <f t="shared" si="105"/>
        <v>29232.18</v>
      </c>
      <c r="P355" s="99"/>
      <c r="Q355" s="11">
        <f>SUM(Q356:Q367)</f>
        <v>23178</v>
      </c>
      <c r="R355" s="11">
        <f>SUM(R356:R367)</f>
        <v>0</v>
      </c>
      <c r="S355" s="11">
        <f aca="true" t="shared" si="108" ref="S355:AU355">SUM(S356:S367)</f>
        <v>0</v>
      </c>
      <c r="T355" s="11">
        <f t="shared" si="108"/>
        <v>0</v>
      </c>
      <c r="U355" s="11">
        <f t="shared" si="108"/>
        <v>0</v>
      </c>
      <c r="V355" s="50">
        <f t="shared" si="108"/>
        <v>0</v>
      </c>
      <c r="W355" s="50">
        <f t="shared" si="108"/>
        <v>0</v>
      </c>
      <c r="X355" s="50">
        <f t="shared" si="108"/>
        <v>71</v>
      </c>
      <c r="Y355" s="50">
        <f t="shared" si="108"/>
        <v>0</v>
      </c>
      <c r="Z355" s="50">
        <f t="shared" si="108"/>
        <v>0</v>
      </c>
      <c r="AA355" s="50">
        <f>SUM(AA356:AA367)</f>
        <v>0</v>
      </c>
      <c r="AB355" s="50">
        <f t="shared" si="108"/>
        <v>0</v>
      </c>
      <c r="AC355" s="50">
        <f t="shared" si="108"/>
        <v>1525</v>
      </c>
      <c r="AD355" s="50">
        <f t="shared" si="108"/>
        <v>1469</v>
      </c>
      <c r="AE355" s="50">
        <f t="shared" si="108"/>
        <v>0</v>
      </c>
      <c r="AF355" s="50">
        <f t="shared" si="108"/>
        <v>0</v>
      </c>
      <c r="AG355" s="50">
        <f t="shared" si="108"/>
        <v>118</v>
      </c>
      <c r="AH355" s="50">
        <f t="shared" si="108"/>
        <v>0</v>
      </c>
      <c r="AI355" s="50">
        <f>SUM(AI356:AI367)</f>
        <v>0</v>
      </c>
      <c r="AJ355" s="50">
        <f>SUM(AJ356:AJ367)</f>
        <v>0</v>
      </c>
      <c r="AK355" s="50">
        <f>SUM(AK356:AK367)</f>
        <v>0</v>
      </c>
      <c r="AL355" s="50">
        <f>SUM(AL356:AL367)</f>
        <v>0</v>
      </c>
      <c r="AM355" s="50">
        <f t="shared" si="108"/>
        <v>0</v>
      </c>
      <c r="AN355" s="11">
        <f t="shared" si="108"/>
        <v>0</v>
      </c>
      <c r="AO355" s="11">
        <f t="shared" si="108"/>
        <v>0</v>
      </c>
      <c r="AP355" s="11">
        <f t="shared" si="108"/>
        <v>0</v>
      </c>
      <c r="AQ355" s="11">
        <f>SUM(AQ356:AQ367)</f>
        <v>0</v>
      </c>
      <c r="AR355" s="11">
        <f>SUM(AR356:AR367)</f>
        <v>0</v>
      </c>
      <c r="AS355" s="11">
        <f t="shared" si="108"/>
        <v>2871.1800000000003</v>
      </c>
      <c r="AT355" s="11">
        <f t="shared" si="108"/>
        <v>0</v>
      </c>
      <c r="AU355" s="11">
        <f t="shared" si="108"/>
        <v>0</v>
      </c>
      <c r="AV355" s="127">
        <v>0</v>
      </c>
    </row>
    <row r="356" spans="2:48" ht="13.5" thickTop="1">
      <c r="B356" s="152">
        <v>28</v>
      </c>
      <c r="C356" s="36"/>
      <c r="D356" s="31"/>
      <c r="E356" s="88"/>
      <c r="F356" s="190"/>
      <c r="G356" s="61" t="s">
        <v>3</v>
      </c>
      <c r="H356" s="41">
        <v>0</v>
      </c>
      <c r="I356" s="19">
        <v>0</v>
      </c>
      <c r="J356" s="41"/>
      <c r="K356" s="212"/>
      <c r="L356" s="212"/>
      <c r="M356" s="212"/>
      <c r="N356" s="210">
        <f aca="true" t="shared" si="109" ref="N356:N367">I356*0.05</f>
        <v>0</v>
      </c>
      <c r="O356" s="10">
        <f t="shared" si="105"/>
        <v>0</v>
      </c>
      <c r="P356" s="106"/>
      <c r="Q356" s="39"/>
      <c r="R356" s="23"/>
      <c r="S356" s="23"/>
      <c r="T356" s="23"/>
      <c r="U356" s="23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23"/>
      <c r="AO356" s="23"/>
      <c r="AP356" s="23"/>
      <c r="AQ356" s="23"/>
      <c r="AR356" s="23"/>
      <c r="AS356" s="23"/>
      <c r="AT356" s="23"/>
      <c r="AU356" s="23"/>
      <c r="AV356" s="23"/>
    </row>
    <row r="357" spans="2:48" ht="12.75">
      <c r="B357" s="152">
        <v>28</v>
      </c>
      <c r="C357" s="37"/>
      <c r="D357" s="33"/>
      <c r="E357" s="90"/>
      <c r="F357" s="86"/>
      <c r="G357" s="62" t="s">
        <v>4</v>
      </c>
      <c r="H357" s="41">
        <v>0</v>
      </c>
      <c r="I357" s="20">
        <v>0</v>
      </c>
      <c r="J357" s="41"/>
      <c r="K357" s="212"/>
      <c r="L357" s="212"/>
      <c r="M357" s="212"/>
      <c r="N357" s="210">
        <f t="shared" si="109"/>
        <v>0</v>
      </c>
      <c r="O357" s="10">
        <f aca="true" t="shared" si="110" ref="O357:O367">SUM(Q357:AU357)</f>
        <v>0</v>
      </c>
      <c r="P357" s="101"/>
      <c r="Q357" s="48"/>
      <c r="R357" s="24"/>
      <c r="S357" s="45"/>
      <c r="T357" s="24"/>
      <c r="U357" s="24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24"/>
      <c r="AO357" s="24"/>
      <c r="AP357" s="24"/>
      <c r="AQ357" s="24"/>
      <c r="AR357" s="24"/>
      <c r="AS357" s="24"/>
      <c r="AT357" s="23"/>
      <c r="AU357" s="24"/>
      <c r="AV357" s="24"/>
    </row>
    <row r="358" spans="2:48" ht="12.75">
      <c r="B358" s="152">
        <v>28</v>
      </c>
      <c r="C358" s="37"/>
      <c r="D358" s="33"/>
      <c r="E358" s="88"/>
      <c r="F358" s="86"/>
      <c r="G358" s="8" t="s">
        <v>5</v>
      </c>
      <c r="H358" s="41">
        <v>4420.82</v>
      </c>
      <c r="I358" s="20">
        <v>0</v>
      </c>
      <c r="J358" s="41"/>
      <c r="K358" s="212"/>
      <c r="L358" s="212"/>
      <c r="M358" s="212"/>
      <c r="N358" s="210">
        <f t="shared" si="109"/>
        <v>0</v>
      </c>
      <c r="O358" s="10">
        <f t="shared" si="110"/>
        <v>4280.7</v>
      </c>
      <c r="P358" s="101" t="s">
        <v>212</v>
      </c>
      <c r="Q358" s="48">
        <v>3836</v>
      </c>
      <c r="R358" s="24"/>
      <c r="S358" s="45"/>
      <c r="T358" s="24"/>
      <c r="U358" s="24"/>
      <c r="V358" s="48"/>
      <c r="W358" s="48"/>
      <c r="X358" s="48"/>
      <c r="Y358" s="48"/>
      <c r="Z358" s="48"/>
      <c r="AA358" s="48"/>
      <c r="AB358" s="48"/>
      <c r="AC358" s="48"/>
      <c r="AD358" s="48">
        <v>51</v>
      </c>
      <c r="AE358" s="48"/>
      <c r="AF358" s="48"/>
      <c r="AG358" s="48">
        <v>118</v>
      </c>
      <c r="AH358" s="48"/>
      <c r="AI358" s="48"/>
      <c r="AJ358" s="48"/>
      <c r="AK358" s="48"/>
      <c r="AL358" s="48"/>
      <c r="AM358" s="48"/>
      <c r="AN358" s="24"/>
      <c r="AO358" s="24"/>
      <c r="AP358" s="24"/>
      <c r="AQ358" s="24"/>
      <c r="AR358" s="24"/>
      <c r="AS358" s="24">
        <v>275.7</v>
      </c>
      <c r="AT358" s="23"/>
      <c r="AU358" s="23"/>
      <c r="AV358" s="24"/>
    </row>
    <row r="359" spans="2:48" ht="12.75">
      <c r="B359" s="152">
        <v>28</v>
      </c>
      <c r="C359" s="37"/>
      <c r="D359" s="33"/>
      <c r="E359" s="88"/>
      <c r="F359" s="86"/>
      <c r="G359" s="8" t="s">
        <v>6</v>
      </c>
      <c r="H359" s="41">
        <v>4420.82</v>
      </c>
      <c r="I359" s="20">
        <v>3759.08</v>
      </c>
      <c r="J359" s="41"/>
      <c r="K359" s="212"/>
      <c r="L359" s="212"/>
      <c r="M359" s="212"/>
      <c r="N359" s="210">
        <f t="shared" si="109"/>
        <v>187.954</v>
      </c>
      <c r="O359" s="10">
        <f t="shared" si="110"/>
        <v>2715.7</v>
      </c>
      <c r="P359" s="103"/>
      <c r="Q359" s="48">
        <v>2440</v>
      </c>
      <c r="R359" s="24"/>
      <c r="S359" s="24"/>
      <c r="T359" s="24"/>
      <c r="U359" s="24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24"/>
      <c r="AO359" s="24"/>
      <c r="AP359" s="24"/>
      <c r="AQ359" s="24"/>
      <c r="AR359" s="24"/>
      <c r="AS359" s="24">
        <v>275.7</v>
      </c>
      <c r="AT359" s="24"/>
      <c r="AU359" s="24"/>
      <c r="AV359" s="24"/>
    </row>
    <row r="360" spans="2:48" ht="12.75">
      <c r="B360" s="152">
        <v>28</v>
      </c>
      <c r="C360" s="37"/>
      <c r="D360" s="33"/>
      <c r="E360" s="88"/>
      <c r="F360" s="86"/>
      <c r="G360" s="8" t="s">
        <v>7</v>
      </c>
      <c r="H360" s="41">
        <v>4420.82</v>
      </c>
      <c r="I360" s="20">
        <v>2840.41</v>
      </c>
      <c r="J360" s="41"/>
      <c r="K360" s="212"/>
      <c r="L360" s="212"/>
      <c r="M360" s="212"/>
      <c r="N360" s="210">
        <f t="shared" si="109"/>
        <v>142.0205</v>
      </c>
      <c r="O360" s="10">
        <f t="shared" si="110"/>
        <v>2121.7</v>
      </c>
      <c r="P360" s="101"/>
      <c r="Q360" s="48">
        <v>1846</v>
      </c>
      <c r="R360" s="24"/>
      <c r="S360" s="24"/>
      <c r="T360" s="24"/>
      <c r="U360" s="24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24"/>
      <c r="AO360" s="24"/>
      <c r="AP360" s="24"/>
      <c r="AQ360" s="24"/>
      <c r="AR360" s="24"/>
      <c r="AS360" s="24">
        <v>275.7</v>
      </c>
      <c r="AT360" s="23"/>
      <c r="AU360" s="24"/>
      <c r="AV360" s="24"/>
    </row>
    <row r="361" spans="2:48" ht="12.75">
      <c r="B361" s="152">
        <v>28</v>
      </c>
      <c r="C361" s="37"/>
      <c r="D361" s="33"/>
      <c r="E361" s="88"/>
      <c r="F361" s="86"/>
      <c r="G361" s="8" t="s">
        <v>8</v>
      </c>
      <c r="H361" s="41">
        <v>4420.82</v>
      </c>
      <c r="I361" s="20">
        <v>3649.68</v>
      </c>
      <c r="J361" s="41"/>
      <c r="K361" s="212"/>
      <c r="L361" s="212"/>
      <c r="M361" s="212"/>
      <c r="N361" s="210">
        <f t="shared" si="109"/>
        <v>182.484</v>
      </c>
      <c r="O361" s="10">
        <f t="shared" si="110"/>
        <v>2121.7</v>
      </c>
      <c r="P361" s="101"/>
      <c r="Q361" s="48">
        <v>1846</v>
      </c>
      <c r="R361" s="24"/>
      <c r="S361" s="24"/>
      <c r="T361" s="24"/>
      <c r="U361" s="24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24"/>
      <c r="AO361" s="24"/>
      <c r="AP361" s="24"/>
      <c r="AQ361" s="24"/>
      <c r="AR361" s="24"/>
      <c r="AS361" s="24">
        <v>275.7</v>
      </c>
      <c r="AT361" s="24"/>
      <c r="AU361" s="24"/>
      <c r="AV361" s="24"/>
    </row>
    <row r="362" spans="2:48" ht="12.75">
      <c r="B362" s="152">
        <v>28</v>
      </c>
      <c r="C362" s="37"/>
      <c r="D362" s="33"/>
      <c r="E362" s="88"/>
      <c r="F362" s="86"/>
      <c r="G362" s="8" t="s">
        <v>9</v>
      </c>
      <c r="H362" s="41">
        <v>4943.64</v>
      </c>
      <c r="I362" s="20">
        <v>3057.76</v>
      </c>
      <c r="J362" s="41"/>
      <c r="K362" s="212"/>
      <c r="L362" s="212"/>
      <c r="M362" s="212"/>
      <c r="N362" s="210">
        <f t="shared" si="109"/>
        <v>152.888</v>
      </c>
      <c r="O362" s="10">
        <f t="shared" si="110"/>
        <v>2140.7200000000003</v>
      </c>
      <c r="P362" s="101"/>
      <c r="Q362" s="48">
        <v>1846</v>
      </c>
      <c r="R362" s="24"/>
      <c r="S362" s="24"/>
      <c r="T362" s="24"/>
      <c r="U362" s="24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24"/>
      <c r="AO362" s="24"/>
      <c r="AP362" s="24"/>
      <c r="AQ362" s="24"/>
      <c r="AR362" s="24"/>
      <c r="AS362" s="24">
        <v>294.72</v>
      </c>
      <c r="AT362" s="24"/>
      <c r="AU362" s="24"/>
      <c r="AV362" s="24"/>
    </row>
    <row r="363" spans="2:48" ht="12.75">
      <c r="B363" s="152">
        <v>28</v>
      </c>
      <c r="C363" s="37"/>
      <c r="D363" s="33"/>
      <c r="E363" s="88"/>
      <c r="F363" s="86"/>
      <c r="G363" s="8" t="s">
        <v>10</v>
      </c>
      <c r="H363" s="41">
        <v>4943.64</v>
      </c>
      <c r="I363" s="20">
        <v>2863.03</v>
      </c>
      <c r="J363" s="41"/>
      <c r="K363" s="212"/>
      <c r="L363" s="212"/>
      <c r="M363" s="212"/>
      <c r="N363" s="210">
        <f t="shared" si="109"/>
        <v>143.15150000000003</v>
      </c>
      <c r="O363" s="10">
        <f t="shared" si="110"/>
        <v>2140.7200000000003</v>
      </c>
      <c r="P363" s="101"/>
      <c r="Q363" s="48">
        <v>1846</v>
      </c>
      <c r="R363" s="24"/>
      <c r="S363" s="24"/>
      <c r="T363" s="24"/>
      <c r="U363" s="24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24"/>
      <c r="AO363" s="24"/>
      <c r="AP363" s="24"/>
      <c r="AQ363" s="24"/>
      <c r="AR363" s="24"/>
      <c r="AS363" s="24">
        <v>294.72</v>
      </c>
      <c r="AT363" s="24"/>
      <c r="AU363" s="24"/>
      <c r="AV363" s="24"/>
    </row>
    <row r="364" spans="2:48" ht="12.75">
      <c r="B364" s="152">
        <v>28</v>
      </c>
      <c r="C364" s="37"/>
      <c r="D364" s="33"/>
      <c r="E364" s="88"/>
      <c r="F364" s="86"/>
      <c r="G364" s="8" t="s">
        <v>11</v>
      </c>
      <c r="H364" s="41">
        <v>4943.64</v>
      </c>
      <c r="I364" s="20">
        <v>4696.94</v>
      </c>
      <c r="J364" s="41"/>
      <c r="K364" s="212"/>
      <c r="L364" s="212"/>
      <c r="M364" s="212"/>
      <c r="N364" s="210">
        <f t="shared" si="109"/>
        <v>234.84699999999998</v>
      </c>
      <c r="O364" s="209">
        <f t="shared" si="110"/>
        <v>2920.7200000000003</v>
      </c>
      <c r="P364" s="101" t="s">
        <v>315</v>
      </c>
      <c r="Q364" s="24">
        <v>1846</v>
      </c>
      <c r="R364" s="24"/>
      <c r="S364" s="24"/>
      <c r="T364" s="24"/>
      <c r="U364" s="24"/>
      <c r="V364" s="48"/>
      <c r="W364" s="48"/>
      <c r="X364" s="48">
        <v>71</v>
      </c>
      <c r="Y364" s="48"/>
      <c r="Z364" s="48"/>
      <c r="AA364" s="48"/>
      <c r="AB364" s="48"/>
      <c r="AC364" s="48"/>
      <c r="AD364" s="48">
        <v>709</v>
      </c>
      <c r="AE364" s="48"/>
      <c r="AF364" s="48"/>
      <c r="AG364" s="48"/>
      <c r="AH364" s="48"/>
      <c r="AI364" s="48"/>
      <c r="AJ364" s="48"/>
      <c r="AK364" s="48"/>
      <c r="AL364" s="48"/>
      <c r="AM364" s="48"/>
      <c r="AN364" s="24"/>
      <c r="AO364" s="24"/>
      <c r="AP364" s="24"/>
      <c r="AQ364" s="24"/>
      <c r="AR364" s="24"/>
      <c r="AS364" s="24">
        <v>294.72</v>
      </c>
      <c r="AT364" s="24"/>
      <c r="AU364" s="24"/>
      <c r="AV364" s="24"/>
    </row>
    <row r="365" spans="2:48" ht="12.75">
      <c r="B365" s="152">
        <v>28</v>
      </c>
      <c r="C365" s="37"/>
      <c r="D365" s="33"/>
      <c r="E365" s="88"/>
      <c r="F365" s="86"/>
      <c r="G365" s="8" t="s">
        <v>12</v>
      </c>
      <c r="H365" s="41">
        <v>7453.5</v>
      </c>
      <c r="I365" s="20">
        <v>5282.35</v>
      </c>
      <c r="J365" s="41"/>
      <c r="K365" s="212"/>
      <c r="L365" s="212"/>
      <c r="M365" s="212"/>
      <c r="N365" s="210">
        <f t="shared" si="109"/>
        <v>264.1175</v>
      </c>
      <c r="O365" s="10">
        <f t="shared" si="110"/>
        <v>2849.7200000000003</v>
      </c>
      <c r="P365" s="101" t="s">
        <v>334</v>
      </c>
      <c r="Q365" s="24">
        <v>1846</v>
      </c>
      <c r="R365" s="24"/>
      <c r="S365" s="24"/>
      <c r="T365" s="24"/>
      <c r="U365" s="24"/>
      <c r="V365" s="48"/>
      <c r="W365" s="48"/>
      <c r="X365" s="48"/>
      <c r="Y365" s="48"/>
      <c r="Z365" s="48"/>
      <c r="AA365" s="48"/>
      <c r="AB365" s="48"/>
      <c r="AC365" s="48"/>
      <c r="AD365" s="48">
        <v>709</v>
      </c>
      <c r="AE365" s="48"/>
      <c r="AF365" s="48"/>
      <c r="AG365" s="48"/>
      <c r="AH365" s="48"/>
      <c r="AI365" s="48"/>
      <c r="AJ365" s="48"/>
      <c r="AK365" s="48"/>
      <c r="AL365" s="48"/>
      <c r="AM365" s="48"/>
      <c r="AN365" s="24"/>
      <c r="AO365" s="24"/>
      <c r="AP365" s="24"/>
      <c r="AQ365" s="24"/>
      <c r="AR365" s="24"/>
      <c r="AS365" s="24">
        <v>294.72</v>
      </c>
      <c r="AT365" s="24"/>
      <c r="AU365" s="24"/>
      <c r="AV365" s="24"/>
    </row>
    <row r="366" spans="2:48" ht="12.75">
      <c r="B366" s="152">
        <v>28</v>
      </c>
      <c r="C366" s="37"/>
      <c r="D366" s="33"/>
      <c r="E366" s="88"/>
      <c r="F366" s="86"/>
      <c r="G366" s="8" t="s">
        <v>13</v>
      </c>
      <c r="H366" s="41">
        <v>6199.22</v>
      </c>
      <c r="I366" s="20">
        <v>4938.01</v>
      </c>
      <c r="J366" s="41"/>
      <c r="K366" s="212"/>
      <c r="L366" s="212"/>
      <c r="M366" s="212"/>
      <c r="N366" s="210">
        <f t="shared" si="109"/>
        <v>246.90050000000002</v>
      </c>
      <c r="O366" s="10">
        <f t="shared" si="110"/>
        <v>2140.75</v>
      </c>
      <c r="P366" s="101"/>
      <c r="Q366" s="24">
        <v>1846</v>
      </c>
      <c r="R366" s="24"/>
      <c r="S366" s="24"/>
      <c r="T366" s="24"/>
      <c r="U366" s="24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24"/>
      <c r="AO366" s="24"/>
      <c r="AP366" s="24"/>
      <c r="AQ366" s="24"/>
      <c r="AR366" s="24"/>
      <c r="AS366" s="24">
        <v>294.75</v>
      </c>
      <c r="AT366" s="24"/>
      <c r="AU366" s="24"/>
      <c r="AV366" s="24"/>
    </row>
    <row r="367" spans="2:48" ht="13.5" thickBot="1">
      <c r="B367" s="154">
        <v>28</v>
      </c>
      <c r="C367" s="183"/>
      <c r="D367" s="63"/>
      <c r="E367" s="125"/>
      <c r="F367" s="189"/>
      <c r="G367" s="12" t="s">
        <v>14</v>
      </c>
      <c r="H367" s="43">
        <v>6199.22</v>
      </c>
      <c r="I367" s="21">
        <v>5829.39</v>
      </c>
      <c r="J367" s="43"/>
      <c r="K367" s="214"/>
      <c r="L367" s="214"/>
      <c r="M367" s="214"/>
      <c r="N367" s="210">
        <f t="shared" si="109"/>
        <v>291.46950000000004</v>
      </c>
      <c r="O367" s="10">
        <f t="shared" si="110"/>
        <v>5799.75</v>
      </c>
      <c r="P367" s="104"/>
      <c r="Q367" s="25">
        <v>3980</v>
      </c>
      <c r="R367" s="25"/>
      <c r="S367" s="25"/>
      <c r="T367" s="25"/>
      <c r="U367" s="25"/>
      <c r="V367" s="49"/>
      <c r="W367" s="49"/>
      <c r="X367" s="49"/>
      <c r="Y367" s="49"/>
      <c r="Z367" s="49"/>
      <c r="AA367" s="49"/>
      <c r="AB367" s="49"/>
      <c r="AC367" s="49">
        <v>1525</v>
      </c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25"/>
      <c r="AO367" s="25"/>
      <c r="AP367" s="25"/>
      <c r="AQ367" s="25"/>
      <c r="AR367" s="25"/>
      <c r="AS367" s="25">
        <v>294.75</v>
      </c>
      <c r="AT367" s="25"/>
      <c r="AU367" s="25"/>
      <c r="AV367" s="128">
        <f>AV355+I355+J355-K355-L355-M355-N355-O355</f>
        <v>5838.637500000004</v>
      </c>
    </row>
    <row r="368" spans="2:48" ht="14.25" thickBot="1" thickTop="1">
      <c r="B368" s="155">
        <v>29</v>
      </c>
      <c r="C368" s="147" t="s">
        <v>66</v>
      </c>
      <c r="D368" s="67">
        <v>4</v>
      </c>
      <c r="E368" s="145" t="s">
        <v>233</v>
      </c>
      <c r="F368" s="203">
        <v>950.3</v>
      </c>
      <c r="G368" s="188"/>
      <c r="H368" s="69">
        <v>52331.40000000001</v>
      </c>
      <c r="I368" s="69">
        <v>43222.72</v>
      </c>
      <c r="J368" s="69">
        <f>SUM(J369:J380)</f>
        <v>0</v>
      </c>
      <c r="K368" s="211">
        <f>SUM(K369:K380)</f>
        <v>0</v>
      </c>
      <c r="L368" s="211">
        <f>SUM(L369:L380)</f>
        <v>0</v>
      </c>
      <c r="M368" s="211">
        <f>SUM(M369:M380)</f>
        <v>0</v>
      </c>
      <c r="N368" s="215">
        <f>SUM(N369:N380)</f>
        <v>2161.136</v>
      </c>
      <c r="O368" s="16">
        <f>SUM(Q368:AU368)</f>
        <v>13200.3</v>
      </c>
      <c r="P368" s="99"/>
      <c r="Q368" s="11">
        <f>SUM(Q369:Q380)</f>
        <v>7432</v>
      </c>
      <c r="R368" s="11">
        <f aca="true" t="shared" si="111" ref="R368:AU368">SUM(R369:R380)</f>
        <v>0</v>
      </c>
      <c r="S368" s="11">
        <f t="shared" si="111"/>
        <v>0</v>
      </c>
      <c r="T368" s="11">
        <f t="shared" si="111"/>
        <v>0</v>
      </c>
      <c r="U368" s="11">
        <f t="shared" si="111"/>
        <v>0</v>
      </c>
      <c r="V368" s="50">
        <f t="shared" si="111"/>
        <v>0</v>
      </c>
      <c r="W368" s="50">
        <f t="shared" si="111"/>
        <v>0</v>
      </c>
      <c r="X368" s="50">
        <f t="shared" si="111"/>
        <v>0</v>
      </c>
      <c r="Y368" s="50">
        <f t="shared" si="111"/>
        <v>0</v>
      </c>
      <c r="Z368" s="50">
        <f t="shared" si="111"/>
        <v>0</v>
      </c>
      <c r="AA368" s="50">
        <f>SUM(AA369:AA380)</f>
        <v>0</v>
      </c>
      <c r="AB368" s="50">
        <f t="shared" si="111"/>
        <v>0</v>
      </c>
      <c r="AC368" s="50">
        <f t="shared" si="111"/>
        <v>1525</v>
      </c>
      <c r="AD368" s="50">
        <f t="shared" si="111"/>
        <v>780</v>
      </c>
      <c r="AE368" s="50">
        <f t="shared" si="111"/>
        <v>0</v>
      </c>
      <c r="AF368" s="50">
        <f t="shared" si="111"/>
        <v>0</v>
      </c>
      <c r="AG368" s="50">
        <f t="shared" si="111"/>
        <v>594</v>
      </c>
      <c r="AH368" s="50">
        <f t="shared" si="111"/>
        <v>0</v>
      </c>
      <c r="AI368" s="50">
        <f>SUM(AI369:AI380)</f>
        <v>0</v>
      </c>
      <c r="AJ368" s="50">
        <f>SUM(AJ369:AJ380)</f>
        <v>0</v>
      </c>
      <c r="AK368" s="50">
        <f>SUM(AK369:AK380)</f>
        <v>0</v>
      </c>
      <c r="AL368" s="50">
        <f>SUM(AL369:AL380)</f>
        <v>0</v>
      </c>
      <c r="AM368" s="50">
        <f t="shared" si="111"/>
        <v>0</v>
      </c>
      <c r="AN368" s="11">
        <f t="shared" si="111"/>
        <v>0</v>
      </c>
      <c r="AO368" s="11">
        <f t="shared" si="111"/>
        <v>0</v>
      </c>
      <c r="AP368" s="11">
        <f t="shared" si="111"/>
        <v>0</v>
      </c>
      <c r="AQ368" s="11">
        <f>SUM(AQ369:AQ380)</f>
        <v>0</v>
      </c>
      <c r="AR368" s="11">
        <f>SUM(AR369:AR380)</f>
        <v>0</v>
      </c>
      <c r="AS368" s="11">
        <f>SUM(AS369:AS380)</f>
        <v>2869.3</v>
      </c>
      <c r="AT368" s="11">
        <f t="shared" si="111"/>
        <v>0</v>
      </c>
      <c r="AU368" s="11">
        <f t="shared" si="111"/>
        <v>0</v>
      </c>
      <c r="AV368" s="127">
        <v>0</v>
      </c>
    </row>
    <row r="369" spans="2:48" ht="13.5" thickTop="1">
      <c r="B369" s="152">
        <v>29</v>
      </c>
      <c r="C369" s="36"/>
      <c r="D369" s="31"/>
      <c r="E369" s="88"/>
      <c r="F369" s="85"/>
      <c r="G369" s="61" t="s">
        <v>3</v>
      </c>
      <c r="H369" s="41">
        <v>0</v>
      </c>
      <c r="I369" s="19">
        <v>0</v>
      </c>
      <c r="J369" s="41"/>
      <c r="K369" s="212"/>
      <c r="L369" s="212"/>
      <c r="M369" s="212"/>
      <c r="N369" s="210">
        <f aca="true" t="shared" si="112" ref="N369:N380">I369*0.05</f>
        <v>0</v>
      </c>
      <c r="O369" s="10">
        <f>SUM(Q369:AU369)</f>
        <v>0</v>
      </c>
      <c r="P369" s="106"/>
      <c r="Q369" s="39"/>
      <c r="R369" s="23"/>
      <c r="S369" s="23"/>
      <c r="T369" s="23"/>
      <c r="U369" s="23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23"/>
      <c r="AO369" s="23"/>
      <c r="AP369" s="23"/>
      <c r="AQ369" s="23"/>
      <c r="AR369" s="23"/>
      <c r="AS369" s="23"/>
      <c r="AT369" s="23"/>
      <c r="AU369" s="23"/>
      <c r="AV369" s="23"/>
    </row>
    <row r="370" spans="2:48" ht="12.75">
      <c r="B370" s="152">
        <v>29</v>
      </c>
      <c r="C370" s="37"/>
      <c r="D370" s="33"/>
      <c r="E370" s="90"/>
      <c r="F370" s="86"/>
      <c r="G370" s="62" t="s">
        <v>4</v>
      </c>
      <c r="H370" s="41">
        <v>0</v>
      </c>
      <c r="I370" s="20">
        <v>0</v>
      </c>
      <c r="J370" s="41"/>
      <c r="K370" s="212"/>
      <c r="L370" s="212"/>
      <c r="M370" s="212"/>
      <c r="N370" s="210">
        <f t="shared" si="112"/>
        <v>0</v>
      </c>
      <c r="O370" s="10">
        <f aca="true" t="shared" si="113" ref="O370:O380">SUM(Q370:AU370)</f>
        <v>0</v>
      </c>
      <c r="P370" s="101"/>
      <c r="Q370" s="48"/>
      <c r="R370" s="24"/>
      <c r="S370" s="45"/>
      <c r="T370" s="24"/>
      <c r="U370" s="24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24"/>
      <c r="AO370" s="24"/>
      <c r="AP370" s="24"/>
      <c r="AQ370" s="24"/>
      <c r="AR370" s="24"/>
      <c r="AS370" s="24"/>
      <c r="AT370" s="23"/>
      <c r="AU370" s="24"/>
      <c r="AV370" s="24"/>
    </row>
    <row r="371" spans="2:48" ht="12.75">
      <c r="B371" s="152">
        <v>29</v>
      </c>
      <c r="C371" s="37"/>
      <c r="D371" s="33"/>
      <c r="E371" s="88"/>
      <c r="F371" s="86"/>
      <c r="G371" s="8" t="s">
        <v>5</v>
      </c>
      <c r="H371" s="41">
        <v>4418.96</v>
      </c>
      <c r="I371" s="20">
        <v>173.34</v>
      </c>
      <c r="J371" s="41"/>
      <c r="K371" s="212"/>
      <c r="L371" s="212"/>
      <c r="M371" s="212"/>
      <c r="N371" s="210">
        <f t="shared" si="112"/>
        <v>8.667</v>
      </c>
      <c r="O371" s="10">
        <f t="shared" si="113"/>
        <v>1941.59</v>
      </c>
      <c r="P371" s="101"/>
      <c r="Q371" s="48">
        <v>1666</v>
      </c>
      <c r="R371" s="24"/>
      <c r="S371" s="45"/>
      <c r="T371" s="24"/>
      <c r="U371" s="24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24"/>
      <c r="AO371" s="24"/>
      <c r="AP371" s="24"/>
      <c r="AQ371" s="24"/>
      <c r="AR371" s="24"/>
      <c r="AS371" s="24">
        <v>275.59</v>
      </c>
      <c r="AT371" s="23"/>
      <c r="AU371" s="23"/>
      <c r="AV371" s="24"/>
    </row>
    <row r="372" spans="2:48" ht="12.75">
      <c r="B372" s="152">
        <v>29</v>
      </c>
      <c r="C372" s="37"/>
      <c r="D372" s="33"/>
      <c r="E372" s="88"/>
      <c r="F372" s="86"/>
      <c r="G372" s="8" t="s">
        <v>6</v>
      </c>
      <c r="H372" s="41">
        <v>4418.96</v>
      </c>
      <c r="I372" s="20">
        <v>2638.6</v>
      </c>
      <c r="J372" s="41"/>
      <c r="K372" s="212"/>
      <c r="L372" s="212"/>
      <c r="M372" s="212"/>
      <c r="N372" s="210">
        <f t="shared" si="112"/>
        <v>131.93</v>
      </c>
      <c r="O372" s="10">
        <f t="shared" si="113"/>
        <v>767.5899999999999</v>
      </c>
      <c r="P372" s="103"/>
      <c r="Q372" s="48">
        <v>492</v>
      </c>
      <c r="R372" s="24"/>
      <c r="S372" s="24"/>
      <c r="T372" s="24"/>
      <c r="U372" s="24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24"/>
      <c r="AO372" s="24"/>
      <c r="AP372" s="24"/>
      <c r="AQ372" s="24"/>
      <c r="AR372" s="24"/>
      <c r="AS372" s="24">
        <v>275.59</v>
      </c>
      <c r="AT372" s="24"/>
      <c r="AU372" s="24"/>
      <c r="AV372" s="24"/>
    </row>
    <row r="373" spans="2:48" ht="12.75">
      <c r="B373" s="152">
        <v>29</v>
      </c>
      <c r="C373" s="37"/>
      <c r="D373" s="33"/>
      <c r="E373" s="88"/>
      <c r="F373" s="86"/>
      <c r="G373" s="8" t="s">
        <v>7</v>
      </c>
      <c r="H373" s="41">
        <v>4418.96</v>
      </c>
      <c r="I373" s="20">
        <v>3311.32</v>
      </c>
      <c r="J373" s="41"/>
      <c r="K373" s="212"/>
      <c r="L373" s="212"/>
      <c r="M373" s="212"/>
      <c r="N373" s="210">
        <f t="shared" si="112"/>
        <v>165.56600000000003</v>
      </c>
      <c r="O373" s="10">
        <f t="shared" si="113"/>
        <v>767.5899999999999</v>
      </c>
      <c r="P373" s="101"/>
      <c r="Q373" s="48">
        <v>492</v>
      </c>
      <c r="R373" s="24"/>
      <c r="S373" s="24"/>
      <c r="T373" s="24"/>
      <c r="U373" s="24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24"/>
      <c r="AO373" s="24"/>
      <c r="AP373" s="24"/>
      <c r="AQ373" s="24"/>
      <c r="AR373" s="24"/>
      <c r="AS373" s="24">
        <v>275.59</v>
      </c>
      <c r="AT373" s="23"/>
      <c r="AU373" s="24"/>
      <c r="AV373" s="24"/>
    </row>
    <row r="374" spans="2:48" ht="12.75">
      <c r="B374" s="152">
        <v>29</v>
      </c>
      <c r="C374" s="37"/>
      <c r="D374" s="33"/>
      <c r="E374" s="88"/>
      <c r="F374" s="86"/>
      <c r="G374" s="8" t="s">
        <v>8</v>
      </c>
      <c r="H374" s="41">
        <v>4418.96</v>
      </c>
      <c r="I374" s="20">
        <v>3162.61</v>
      </c>
      <c r="J374" s="41"/>
      <c r="K374" s="212"/>
      <c r="L374" s="212"/>
      <c r="M374" s="212"/>
      <c r="N374" s="210">
        <f t="shared" si="112"/>
        <v>158.1305</v>
      </c>
      <c r="O374" s="10">
        <f t="shared" si="113"/>
        <v>767.5899999999999</v>
      </c>
      <c r="P374" s="101"/>
      <c r="Q374" s="48">
        <v>492</v>
      </c>
      <c r="R374" s="24"/>
      <c r="S374" s="24"/>
      <c r="T374" s="24"/>
      <c r="U374" s="24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24"/>
      <c r="AO374" s="24"/>
      <c r="AP374" s="24"/>
      <c r="AQ374" s="24"/>
      <c r="AR374" s="24"/>
      <c r="AS374" s="24">
        <v>275.59</v>
      </c>
      <c r="AT374" s="24"/>
      <c r="AU374" s="24"/>
      <c r="AV374" s="24"/>
    </row>
    <row r="375" spans="2:48" ht="12.75">
      <c r="B375" s="152">
        <v>29</v>
      </c>
      <c r="C375" s="37"/>
      <c r="D375" s="33"/>
      <c r="E375" s="88"/>
      <c r="F375" s="86"/>
      <c r="G375" s="8" t="s">
        <v>9</v>
      </c>
      <c r="H375" s="41">
        <v>4941.56</v>
      </c>
      <c r="I375" s="20">
        <v>4498.23</v>
      </c>
      <c r="J375" s="41"/>
      <c r="K375" s="212"/>
      <c r="L375" s="212"/>
      <c r="M375" s="212"/>
      <c r="N375" s="210">
        <f t="shared" si="112"/>
        <v>224.9115</v>
      </c>
      <c r="O375" s="10">
        <f t="shared" si="113"/>
        <v>786.5899999999999</v>
      </c>
      <c r="P375" s="101"/>
      <c r="Q375" s="48">
        <v>492</v>
      </c>
      <c r="R375" s="24"/>
      <c r="S375" s="24"/>
      <c r="T375" s="24"/>
      <c r="U375" s="24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24"/>
      <c r="AO375" s="24"/>
      <c r="AP375" s="24"/>
      <c r="AQ375" s="24"/>
      <c r="AR375" s="24"/>
      <c r="AS375" s="24">
        <v>294.59</v>
      </c>
      <c r="AT375" s="24"/>
      <c r="AU375" s="24"/>
      <c r="AV375" s="24"/>
    </row>
    <row r="376" spans="2:48" ht="12.75">
      <c r="B376" s="152">
        <v>29</v>
      </c>
      <c r="C376" s="37"/>
      <c r="D376" s="33"/>
      <c r="E376" s="88"/>
      <c r="F376" s="86"/>
      <c r="G376" s="8" t="s">
        <v>10</v>
      </c>
      <c r="H376" s="41">
        <v>4940.52</v>
      </c>
      <c r="I376" s="20">
        <v>3550.14</v>
      </c>
      <c r="J376" s="41"/>
      <c r="K376" s="212"/>
      <c r="L376" s="212"/>
      <c r="M376" s="212"/>
      <c r="N376" s="210">
        <f t="shared" si="112"/>
        <v>177.507</v>
      </c>
      <c r="O376" s="10">
        <f t="shared" si="113"/>
        <v>786.47</v>
      </c>
      <c r="P376" s="101"/>
      <c r="Q376" s="48">
        <v>492</v>
      </c>
      <c r="R376" s="24"/>
      <c r="S376" s="24"/>
      <c r="T376" s="24"/>
      <c r="U376" s="24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24"/>
      <c r="AO376" s="24"/>
      <c r="AP376" s="24"/>
      <c r="AQ376" s="24"/>
      <c r="AR376" s="24"/>
      <c r="AS376" s="24">
        <v>294.47</v>
      </c>
      <c r="AT376" s="24"/>
      <c r="AU376" s="24"/>
      <c r="AV376" s="24"/>
    </row>
    <row r="377" spans="2:48" ht="12.75">
      <c r="B377" s="152">
        <v>29</v>
      </c>
      <c r="C377" s="37"/>
      <c r="D377" s="33"/>
      <c r="E377" s="88"/>
      <c r="F377" s="86"/>
      <c r="G377" s="8" t="s">
        <v>11</v>
      </c>
      <c r="H377" s="41">
        <v>4939.48</v>
      </c>
      <c r="I377" s="20">
        <v>6457.5</v>
      </c>
      <c r="J377" s="41"/>
      <c r="K377" s="212"/>
      <c r="L377" s="212"/>
      <c r="M377" s="212"/>
      <c r="N377" s="210">
        <f t="shared" si="112"/>
        <v>322.875</v>
      </c>
      <c r="O377" s="10">
        <f t="shared" si="113"/>
        <v>786.47</v>
      </c>
      <c r="P377" s="101"/>
      <c r="Q377" s="24">
        <v>492</v>
      </c>
      <c r="R377" s="24"/>
      <c r="S377" s="24"/>
      <c r="T377" s="24"/>
      <c r="U377" s="24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24"/>
      <c r="AO377" s="24"/>
      <c r="AP377" s="24"/>
      <c r="AQ377" s="24"/>
      <c r="AR377" s="24"/>
      <c r="AS377" s="24">
        <v>294.47</v>
      </c>
      <c r="AT377" s="24"/>
      <c r="AU377" s="24"/>
      <c r="AV377" s="24"/>
    </row>
    <row r="378" spans="2:48" ht="12.75">
      <c r="B378" s="152">
        <v>29</v>
      </c>
      <c r="C378" s="37"/>
      <c r="D378" s="33"/>
      <c r="E378" s="88"/>
      <c r="F378" s="86"/>
      <c r="G378" s="8" t="s">
        <v>12</v>
      </c>
      <c r="H378" s="41">
        <v>7447.26</v>
      </c>
      <c r="I378" s="20">
        <v>6573.61</v>
      </c>
      <c r="J378" s="41"/>
      <c r="K378" s="212"/>
      <c r="L378" s="212"/>
      <c r="M378" s="212"/>
      <c r="N378" s="210">
        <f t="shared" si="112"/>
        <v>328.6805</v>
      </c>
      <c r="O378" s="10">
        <f t="shared" si="113"/>
        <v>2160.4700000000003</v>
      </c>
      <c r="P378" s="101" t="s">
        <v>307</v>
      </c>
      <c r="Q378" s="24">
        <v>492</v>
      </c>
      <c r="R378" s="24"/>
      <c r="S378" s="24"/>
      <c r="T378" s="24"/>
      <c r="U378" s="24"/>
      <c r="V378" s="48"/>
      <c r="W378" s="48"/>
      <c r="X378" s="48"/>
      <c r="Y378" s="48"/>
      <c r="Z378" s="48"/>
      <c r="AA378" s="48"/>
      <c r="AB378" s="48"/>
      <c r="AC378" s="48"/>
      <c r="AD378" s="48">
        <v>780</v>
      </c>
      <c r="AE378" s="48"/>
      <c r="AF378" s="48"/>
      <c r="AG378" s="48">
        <v>594</v>
      </c>
      <c r="AH378" s="48"/>
      <c r="AI378" s="48"/>
      <c r="AJ378" s="48"/>
      <c r="AK378" s="48"/>
      <c r="AL378" s="48"/>
      <c r="AM378" s="48"/>
      <c r="AN378" s="24"/>
      <c r="AO378" s="24"/>
      <c r="AP378" s="24"/>
      <c r="AQ378" s="24"/>
      <c r="AR378" s="24"/>
      <c r="AS378" s="24">
        <v>294.47</v>
      </c>
      <c r="AT378" s="24"/>
      <c r="AU378" s="24"/>
      <c r="AV378" s="24"/>
    </row>
    <row r="379" spans="2:48" ht="12.75">
      <c r="B379" s="152">
        <v>29</v>
      </c>
      <c r="C379" s="37"/>
      <c r="D379" s="33"/>
      <c r="E379" s="88"/>
      <c r="F379" s="86"/>
      <c r="G379" s="8" t="s">
        <v>13</v>
      </c>
      <c r="H379" s="41">
        <v>6193.37</v>
      </c>
      <c r="I379" s="20">
        <v>3645.36</v>
      </c>
      <c r="J379" s="41"/>
      <c r="K379" s="212"/>
      <c r="L379" s="212"/>
      <c r="M379" s="212"/>
      <c r="N379" s="210">
        <f t="shared" si="112"/>
        <v>182.26800000000003</v>
      </c>
      <c r="O379" s="10">
        <f t="shared" si="113"/>
        <v>786.47</v>
      </c>
      <c r="P379" s="101"/>
      <c r="Q379" s="24">
        <v>492</v>
      </c>
      <c r="R379" s="24"/>
      <c r="S379" s="24"/>
      <c r="T379" s="24"/>
      <c r="U379" s="24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24"/>
      <c r="AO379" s="24"/>
      <c r="AP379" s="24"/>
      <c r="AQ379" s="24"/>
      <c r="AR379" s="24"/>
      <c r="AS379" s="24">
        <v>294.47</v>
      </c>
      <c r="AT379" s="24"/>
      <c r="AU379" s="24"/>
      <c r="AV379" s="24"/>
    </row>
    <row r="380" spans="2:48" ht="13.5" thickBot="1">
      <c r="B380" s="153">
        <v>29</v>
      </c>
      <c r="C380" s="38"/>
      <c r="D380" s="35"/>
      <c r="E380" s="144"/>
      <c r="F380" s="206"/>
      <c r="G380" s="12" t="s">
        <v>14</v>
      </c>
      <c r="H380" s="43">
        <v>6193.37</v>
      </c>
      <c r="I380" s="21">
        <v>9212.01</v>
      </c>
      <c r="J380" s="43"/>
      <c r="K380" s="214"/>
      <c r="L380" s="214"/>
      <c r="M380" s="214"/>
      <c r="N380" s="210">
        <f t="shared" si="112"/>
        <v>460.6005</v>
      </c>
      <c r="O380" s="10">
        <f t="shared" si="113"/>
        <v>3649.4700000000003</v>
      </c>
      <c r="P380" s="104"/>
      <c r="Q380" s="25">
        <v>1830</v>
      </c>
      <c r="R380" s="25"/>
      <c r="S380" s="25"/>
      <c r="T380" s="25"/>
      <c r="U380" s="25"/>
      <c r="V380" s="49"/>
      <c r="W380" s="49"/>
      <c r="X380" s="49"/>
      <c r="Y380" s="49"/>
      <c r="Z380" s="49"/>
      <c r="AA380" s="49"/>
      <c r="AB380" s="49"/>
      <c r="AC380" s="49">
        <v>1525</v>
      </c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25"/>
      <c r="AO380" s="25"/>
      <c r="AP380" s="25"/>
      <c r="AQ380" s="25"/>
      <c r="AR380" s="25"/>
      <c r="AS380" s="25">
        <v>294.47</v>
      </c>
      <c r="AT380" s="25"/>
      <c r="AU380" s="25"/>
      <c r="AV380" s="128">
        <f>AV368+I368+J368-K368-L368-M368-N368-O368</f>
        <v>27861.284000000003</v>
      </c>
    </row>
    <row r="381" spans="2:48" ht="14.25" thickBot="1" thickTop="1">
      <c r="B381" s="155">
        <v>30</v>
      </c>
      <c r="C381" s="147" t="s">
        <v>159</v>
      </c>
      <c r="D381" s="67">
        <v>43</v>
      </c>
      <c r="E381" s="125" t="s">
        <v>234</v>
      </c>
      <c r="F381" s="207">
        <v>2902.7</v>
      </c>
      <c r="G381" s="188"/>
      <c r="H381" s="69">
        <v>164759.94999999998</v>
      </c>
      <c r="I381" s="69">
        <v>125361.01999999999</v>
      </c>
      <c r="J381" s="69">
        <f>SUM(J382:J393)</f>
        <v>0</v>
      </c>
      <c r="K381" s="211">
        <f>SUM(K382:K393)</f>
        <v>0</v>
      </c>
      <c r="L381" s="211">
        <f>SUM(L382:L393)</f>
        <v>0</v>
      </c>
      <c r="M381" s="211">
        <f>SUM(M382:M393)</f>
        <v>0</v>
      </c>
      <c r="N381" s="215">
        <f>SUM(N382:N393)</f>
        <v>6268.051</v>
      </c>
      <c r="O381" s="16">
        <f>SUM(Q381:AU381)</f>
        <v>25812.82</v>
      </c>
      <c r="P381" s="99"/>
      <c r="Q381" s="11">
        <f aca="true" t="shared" si="114" ref="Q381:AL381">SUM(Q382:Q393)</f>
        <v>10416</v>
      </c>
      <c r="R381" s="11">
        <f t="shared" si="114"/>
        <v>0</v>
      </c>
      <c r="S381" s="11">
        <f t="shared" si="114"/>
        <v>1836</v>
      </c>
      <c r="T381" s="11">
        <f t="shared" si="114"/>
        <v>434</v>
      </c>
      <c r="U381" s="11">
        <f t="shared" si="114"/>
        <v>0</v>
      </c>
      <c r="V381" s="50">
        <f t="shared" si="114"/>
        <v>0</v>
      </c>
      <c r="W381" s="50">
        <f t="shared" si="114"/>
        <v>1035</v>
      </c>
      <c r="X381" s="50">
        <f t="shared" si="114"/>
        <v>0</v>
      </c>
      <c r="Y381" s="50">
        <f t="shared" si="114"/>
        <v>0</v>
      </c>
      <c r="Z381" s="50">
        <f t="shared" si="114"/>
        <v>1185</v>
      </c>
      <c r="AA381" s="50">
        <f t="shared" si="114"/>
        <v>0</v>
      </c>
      <c r="AB381" s="50">
        <f t="shared" si="114"/>
        <v>0</v>
      </c>
      <c r="AC381" s="50">
        <f t="shared" si="114"/>
        <v>0</v>
      </c>
      <c r="AD381" s="50">
        <f t="shared" si="114"/>
        <v>133</v>
      </c>
      <c r="AE381" s="50">
        <f t="shared" si="114"/>
        <v>0</v>
      </c>
      <c r="AF381" s="50">
        <f t="shared" si="114"/>
        <v>0</v>
      </c>
      <c r="AG381" s="50">
        <f t="shared" si="114"/>
        <v>0</v>
      </c>
      <c r="AH381" s="50">
        <f t="shared" si="114"/>
        <v>0</v>
      </c>
      <c r="AI381" s="50">
        <f t="shared" si="114"/>
        <v>0</v>
      </c>
      <c r="AJ381" s="50">
        <f t="shared" si="114"/>
        <v>2006</v>
      </c>
      <c r="AK381" s="50">
        <f t="shared" si="114"/>
        <v>0</v>
      </c>
      <c r="AL381" s="50">
        <f t="shared" si="114"/>
        <v>0</v>
      </c>
      <c r="AM381" s="50">
        <f aca="true" t="shared" si="115" ref="AM381:AU381">SUM(AM382:AM393)</f>
        <v>0</v>
      </c>
      <c r="AN381" s="11">
        <f t="shared" si="115"/>
        <v>0</v>
      </c>
      <c r="AO381" s="11">
        <f t="shared" si="115"/>
        <v>0</v>
      </c>
      <c r="AP381" s="11">
        <f t="shared" si="115"/>
        <v>0</v>
      </c>
      <c r="AQ381" s="11">
        <f>SUM(AQ382:AQ393)</f>
        <v>0</v>
      </c>
      <c r="AR381" s="11">
        <f>SUM(AR382:AR393)</f>
        <v>0</v>
      </c>
      <c r="AS381" s="11">
        <f t="shared" si="115"/>
        <v>8767.82</v>
      </c>
      <c r="AT381" s="11">
        <f t="shared" si="115"/>
        <v>0</v>
      </c>
      <c r="AU381" s="11">
        <f t="shared" si="115"/>
        <v>0</v>
      </c>
      <c r="AV381" s="127">
        <v>0</v>
      </c>
    </row>
    <row r="382" spans="2:48" ht="14.25" thickBot="1" thickTop="1">
      <c r="B382" s="208">
        <v>30</v>
      </c>
      <c r="C382" s="36"/>
      <c r="D382" s="31"/>
      <c r="E382" s="124"/>
      <c r="F382" s="204"/>
      <c r="G382" s="61" t="s">
        <v>3</v>
      </c>
      <c r="H382" s="41"/>
      <c r="I382" s="19">
        <v>0</v>
      </c>
      <c r="J382" s="41"/>
      <c r="K382" s="212"/>
      <c r="L382" s="212"/>
      <c r="M382" s="212"/>
      <c r="N382" s="210">
        <f aca="true" t="shared" si="116" ref="N382:N393">I382*0.05</f>
        <v>0</v>
      </c>
      <c r="O382" s="10">
        <f>SUM(Q382:AU382)</f>
        <v>0</v>
      </c>
      <c r="P382" s="106"/>
      <c r="Q382" s="39"/>
      <c r="R382" s="23"/>
      <c r="S382" s="23"/>
      <c r="T382" s="23"/>
      <c r="U382" s="23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23"/>
      <c r="AO382" s="23"/>
      <c r="AP382" s="23"/>
      <c r="AQ382" s="23"/>
      <c r="AR382" s="23"/>
      <c r="AS382" s="23"/>
      <c r="AT382" s="23"/>
      <c r="AU382" s="23"/>
      <c r="AV382" s="23"/>
    </row>
    <row r="383" spans="2:48" ht="14.25" thickBot="1" thickTop="1">
      <c r="B383" s="208">
        <v>30</v>
      </c>
      <c r="C383" s="37"/>
      <c r="D383" s="33"/>
      <c r="E383" s="90"/>
      <c r="F383" s="205"/>
      <c r="G383" s="62" t="s">
        <v>4</v>
      </c>
      <c r="H383" s="41"/>
      <c r="I383" s="20">
        <v>0</v>
      </c>
      <c r="J383" s="41"/>
      <c r="K383" s="212"/>
      <c r="L383" s="212"/>
      <c r="M383" s="212"/>
      <c r="N383" s="210">
        <f t="shared" si="116"/>
        <v>0</v>
      </c>
      <c r="O383" s="10">
        <f aca="true" t="shared" si="117" ref="O383:O393">SUM(Q383:AU383)</f>
        <v>133</v>
      </c>
      <c r="P383" s="101" t="s">
        <v>242</v>
      </c>
      <c r="Q383" s="48"/>
      <c r="R383" s="24"/>
      <c r="S383" s="45"/>
      <c r="T383" s="24"/>
      <c r="U383" s="24"/>
      <c r="V383" s="48"/>
      <c r="W383" s="48"/>
      <c r="X383" s="48"/>
      <c r="Y383" s="48"/>
      <c r="Z383" s="48"/>
      <c r="AA383" s="48"/>
      <c r="AB383" s="48"/>
      <c r="AC383" s="48"/>
      <c r="AD383" s="48">
        <v>133</v>
      </c>
      <c r="AE383" s="48"/>
      <c r="AF383" s="48"/>
      <c r="AG383" s="48"/>
      <c r="AH383" s="48"/>
      <c r="AI383" s="48"/>
      <c r="AJ383" s="48"/>
      <c r="AK383" s="48"/>
      <c r="AL383" s="48"/>
      <c r="AM383" s="48"/>
      <c r="AN383" s="24"/>
      <c r="AO383" s="24"/>
      <c r="AP383" s="24"/>
      <c r="AQ383" s="24"/>
      <c r="AR383" s="24"/>
      <c r="AS383" s="24"/>
      <c r="AT383" s="23"/>
      <c r="AU383" s="24"/>
      <c r="AV383" s="24"/>
    </row>
    <row r="384" spans="2:48" ht="14.25" thickBot="1" thickTop="1">
      <c r="B384" s="208">
        <v>30</v>
      </c>
      <c r="C384" s="37"/>
      <c r="D384" s="33"/>
      <c r="E384" s="88"/>
      <c r="F384" s="205"/>
      <c r="G384" s="8" t="s">
        <v>5</v>
      </c>
      <c r="H384" s="41">
        <v>13584.59</v>
      </c>
      <c r="I384" s="20">
        <v>0</v>
      </c>
      <c r="J384" s="41"/>
      <c r="K384" s="212"/>
      <c r="L384" s="212"/>
      <c r="M384" s="212"/>
      <c r="N384" s="210">
        <f t="shared" si="116"/>
        <v>0</v>
      </c>
      <c r="O384" s="10">
        <f t="shared" si="117"/>
        <v>841.78</v>
      </c>
      <c r="P384" s="101"/>
      <c r="Q384" s="48"/>
      <c r="R384" s="24"/>
      <c r="S384" s="45"/>
      <c r="T384" s="24"/>
      <c r="U384" s="24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24"/>
      <c r="AO384" s="24"/>
      <c r="AP384" s="24"/>
      <c r="AQ384" s="24"/>
      <c r="AR384" s="24"/>
      <c r="AS384" s="24">
        <v>841.78</v>
      </c>
      <c r="AT384" s="23"/>
      <c r="AU384" s="23"/>
      <c r="AV384" s="24"/>
    </row>
    <row r="385" spans="2:48" ht="14.25" thickBot="1" thickTop="1">
      <c r="B385" s="208">
        <v>30</v>
      </c>
      <c r="C385" s="37"/>
      <c r="D385" s="33"/>
      <c r="E385" s="88"/>
      <c r="F385" s="205"/>
      <c r="G385" s="8" t="s">
        <v>6</v>
      </c>
      <c r="H385" s="41">
        <v>13584.59</v>
      </c>
      <c r="I385" s="20">
        <v>9271.64</v>
      </c>
      <c r="J385" s="41"/>
      <c r="K385" s="212"/>
      <c r="L385" s="212"/>
      <c r="M385" s="212"/>
      <c r="N385" s="210">
        <f t="shared" si="116"/>
        <v>463.582</v>
      </c>
      <c r="O385" s="10">
        <f t="shared" si="117"/>
        <v>2334.7799999999997</v>
      </c>
      <c r="P385" s="103"/>
      <c r="Q385" s="48">
        <v>1493</v>
      </c>
      <c r="R385" s="24"/>
      <c r="S385" s="24"/>
      <c r="T385" s="24"/>
      <c r="U385" s="24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24"/>
      <c r="AO385" s="24"/>
      <c r="AP385" s="24"/>
      <c r="AQ385" s="24"/>
      <c r="AR385" s="24"/>
      <c r="AS385" s="24">
        <v>841.78</v>
      </c>
      <c r="AT385" s="24"/>
      <c r="AU385" s="24"/>
      <c r="AV385" s="24"/>
    </row>
    <row r="386" spans="2:48" ht="14.25" thickBot="1" thickTop="1">
      <c r="B386" s="208">
        <v>30</v>
      </c>
      <c r="C386" s="37"/>
      <c r="D386" s="33"/>
      <c r="E386" s="88"/>
      <c r="F386" s="205"/>
      <c r="G386" s="8" t="s">
        <v>7</v>
      </c>
      <c r="H386" s="41">
        <v>10836.09</v>
      </c>
      <c r="I386" s="20">
        <v>11925.29</v>
      </c>
      <c r="J386" s="41"/>
      <c r="K386" s="212"/>
      <c r="L386" s="212"/>
      <c r="M386" s="212"/>
      <c r="N386" s="210">
        <f t="shared" si="116"/>
        <v>596.2645000000001</v>
      </c>
      <c r="O386" s="10">
        <f t="shared" si="117"/>
        <v>4554.78</v>
      </c>
      <c r="P386" s="101"/>
      <c r="Q386" s="48">
        <v>1493</v>
      </c>
      <c r="R386" s="24"/>
      <c r="S386" s="24"/>
      <c r="T386" s="24"/>
      <c r="U386" s="24"/>
      <c r="V386" s="48"/>
      <c r="W386" s="48">
        <v>1035</v>
      </c>
      <c r="X386" s="48"/>
      <c r="Y386" s="48"/>
      <c r="Z386" s="48">
        <v>1185</v>
      </c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24"/>
      <c r="AO386" s="24"/>
      <c r="AP386" s="24"/>
      <c r="AQ386" s="24"/>
      <c r="AR386" s="24"/>
      <c r="AS386" s="24">
        <v>841.78</v>
      </c>
      <c r="AT386" s="23"/>
      <c r="AU386" s="24"/>
      <c r="AV386" s="24"/>
    </row>
    <row r="387" spans="2:48" ht="14.25" thickBot="1" thickTop="1">
      <c r="B387" s="208">
        <v>30</v>
      </c>
      <c r="C387" s="37"/>
      <c r="D387" s="33"/>
      <c r="E387" s="88"/>
      <c r="F387" s="205"/>
      <c r="G387" s="8" t="s">
        <v>8</v>
      </c>
      <c r="H387" s="41">
        <v>13584.59</v>
      </c>
      <c r="I387" s="20">
        <v>10447.06</v>
      </c>
      <c r="J387" s="41"/>
      <c r="K387" s="212"/>
      <c r="L387" s="212"/>
      <c r="M387" s="212"/>
      <c r="N387" s="210">
        <f t="shared" si="116"/>
        <v>522.353</v>
      </c>
      <c r="O387" s="10">
        <f t="shared" si="117"/>
        <v>1801.78</v>
      </c>
      <c r="P387" s="101"/>
      <c r="Q387" s="48">
        <v>960</v>
      </c>
      <c r="R387" s="24"/>
      <c r="S387" s="24"/>
      <c r="T387" s="24"/>
      <c r="U387" s="24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24"/>
      <c r="AO387" s="24"/>
      <c r="AP387" s="24"/>
      <c r="AQ387" s="24"/>
      <c r="AR387" s="24"/>
      <c r="AS387" s="24">
        <v>841.78</v>
      </c>
      <c r="AT387" s="24"/>
      <c r="AU387" s="24"/>
      <c r="AV387" s="24"/>
    </row>
    <row r="388" spans="2:48" ht="14.25" thickBot="1" thickTop="1">
      <c r="B388" s="208">
        <v>30</v>
      </c>
      <c r="C388" s="37"/>
      <c r="D388" s="33"/>
      <c r="E388" s="88"/>
      <c r="F388" s="205"/>
      <c r="G388" s="8" t="s">
        <v>9</v>
      </c>
      <c r="H388" s="41">
        <v>18896.62</v>
      </c>
      <c r="I388" s="20">
        <v>10643.85</v>
      </c>
      <c r="J388" s="41"/>
      <c r="K388" s="212"/>
      <c r="L388" s="212"/>
      <c r="M388" s="212"/>
      <c r="N388" s="210">
        <f t="shared" si="116"/>
        <v>532.1925</v>
      </c>
      <c r="O388" s="10">
        <f t="shared" si="117"/>
        <v>2557.84</v>
      </c>
      <c r="P388" s="101" t="s">
        <v>295</v>
      </c>
      <c r="Q388" s="48">
        <v>1315</v>
      </c>
      <c r="R388" s="24"/>
      <c r="S388" s="48">
        <v>343</v>
      </c>
      <c r="T388" s="48"/>
      <c r="U388" s="24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24"/>
      <c r="AO388" s="24"/>
      <c r="AP388" s="24"/>
      <c r="AQ388" s="24"/>
      <c r="AR388" s="24"/>
      <c r="AS388" s="24">
        <v>899.84</v>
      </c>
      <c r="AT388" s="24"/>
      <c r="AU388" s="24"/>
      <c r="AV388" s="24"/>
    </row>
    <row r="389" spans="2:48" ht="14.25" thickBot="1" thickTop="1">
      <c r="B389" s="208">
        <v>30</v>
      </c>
      <c r="C389" s="37"/>
      <c r="D389" s="33"/>
      <c r="E389" s="88"/>
      <c r="F389" s="205"/>
      <c r="G389" s="8" t="s">
        <v>10</v>
      </c>
      <c r="H389" s="41">
        <v>18896.62</v>
      </c>
      <c r="I389" s="20">
        <v>13069.68</v>
      </c>
      <c r="J389" s="41"/>
      <c r="K389" s="212"/>
      <c r="L389" s="212"/>
      <c r="M389" s="212"/>
      <c r="N389" s="210">
        <f t="shared" si="116"/>
        <v>653.484</v>
      </c>
      <c r="O389" s="10">
        <f t="shared" si="117"/>
        <v>2214.84</v>
      </c>
      <c r="P389" s="101"/>
      <c r="Q389" s="48">
        <v>1315</v>
      </c>
      <c r="R389" s="24"/>
      <c r="S389" s="48"/>
      <c r="T389" s="48"/>
      <c r="U389" s="24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24"/>
      <c r="AO389" s="24"/>
      <c r="AP389" s="24"/>
      <c r="AQ389" s="24"/>
      <c r="AR389" s="24"/>
      <c r="AS389" s="24">
        <v>899.84</v>
      </c>
      <c r="AT389" s="24"/>
      <c r="AU389" s="24"/>
      <c r="AV389" s="24"/>
    </row>
    <row r="390" spans="2:48" ht="14.25" thickBot="1" thickTop="1">
      <c r="B390" s="208">
        <v>30</v>
      </c>
      <c r="C390" s="37"/>
      <c r="D390" s="33"/>
      <c r="E390" s="88"/>
      <c r="F390" s="205"/>
      <c r="G390" s="8" t="s">
        <v>11</v>
      </c>
      <c r="H390" s="41">
        <v>18552.62</v>
      </c>
      <c r="I390" s="20">
        <v>17457.1</v>
      </c>
      <c r="J390" s="41"/>
      <c r="K390" s="212"/>
      <c r="L390" s="212"/>
      <c r="M390" s="212"/>
      <c r="N390" s="210">
        <f t="shared" si="116"/>
        <v>872.855</v>
      </c>
      <c r="O390" s="10">
        <f t="shared" si="117"/>
        <v>2252.84</v>
      </c>
      <c r="P390" s="101" t="s">
        <v>205</v>
      </c>
      <c r="Q390" s="24">
        <v>960</v>
      </c>
      <c r="R390" s="24"/>
      <c r="S390" s="48">
        <v>393</v>
      </c>
      <c r="T390" s="48"/>
      <c r="U390" s="24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24"/>
      <c r="AO390" s="24"/>
      <c r="AP390" s="24"/>
      <c r="AQ390" s="24"/>
      <c r="AR390" s="24"/>
      <c r="AS390" s="24">
        <v>899.84</v>
      </c>
      <c r="AT390" s="24"/>
      <c r="AU390" s="24"/>
      <c r="AV390" s="24"/>
    </row>
    <row r="391" spans="2:48" ht="14.25" thickBot="1" thickTop="1">
      <c r="B391" s="208">
        <v>30</v>
      </c>
      <c r="C391" s="37"/>
      <c r="D391" s="33"/>
      <c r="E391" s="88"/>
      <c r="F391" s="205"/>
      <c r="G391" s="8" t="s">
        <v>12</v>
      </c>
      <c r="H391" s="41">
        <v>18954.68</v>
      </c>
      <c r="I391" s="20">
        <v>25747.15</v>
      </c>
      <c r="J391" s="41"/>
      <c r="K391" s="212"/>
      <c r="L391" s="212"/>
      <c r="M391" s="212"/>
      <c r="N391" s="210">
        <f t="shared" si="116"/>
        <v>1287.3575</v>
      </c>
      <c r="O391" s="10">
        <f t="shared" si="117"/>
        <v>3393.84</v>
      </c>
      <c r="P391" s="101"/>
      <c r="Q391" s="24">
        <v>960</v>
      </c>
      <c r="R391" s="24"/>
      <c r="S391" s="48">
        <v>1100</v>
      </c>
      <c r="T391" s="48">
        <v>434</v>
      </c>
      <c r="U391" s="24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24"/>
      <c r="AO391" s="24"/>
      <c r="AP391" s="24"/>
      <c r="AQ391" s="24"/>
      <c r="AR391" s="24"/>
      <c r="AS391" s="24">
        <v>899.84</v>
      </c>
      <c r="AT391" s="24"/>
      <c r="AU391" s="24"/>
      <c r="AV391" s="24"/>
    </row>
    <row r="392" spans="2:48" ht="14.25" thickBot="1" thickTop="1">
      <c r="B392" s="208">
        <v>30</v>
      </c>
      <c r="C392" s="37"/>
      <c r="D392" s="33"/>
      <c r="E392" s="88"/>
      <c r="F392" s="205"/>
      <c r="G392" s="8" t="s">
        <v>13</v>
      </c>
      <c r="H392" s="41">
        <v>18926.3</v>
      </c>
      <c r="I392" s="20">
        <v>8775.92</v>
      </c>
      <c r="J392" s="41"/>
      <c r="K392" s="212"/>
      <c r="L392" s="212"/>
      <c r="M392" s="212"/>
      <c r="N392" s="210">
        <f t="shared" si="116"/>
        <v>438.79600000000005</v>
      </c>
      <c r="O392" s="10">
        <f t="shared" si="117"/>
        <v>3866.67</v>
      </c>
      <c r="P392" s="101"/>
      <c r="Q392" s="24">
        <v>960</v>
      </c>
      <c r="R392" s="24"/>
      <c r="S392" s="24"/>
      <c r="T392" s="24"/>
      <c r="U392" s="24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>
        <v>2006</v>
      </c>
      <c r="AK392" s="48"/>
      <c r="AL392" s="48"/>
      <c r="AM392" s="48"/>
      <c r="AN392" s="24"/>
      <c r="AO392" s="24"/>
      <c r="AP392" s="24"/>
      <c r="AQ392" s="24"/>
      <c r="AR392" s="24"/>
      <c r="AS392" s="24">
        <v>900.67</v>
      </c>
      <c r="AT392" s="24"/>
      <c r="AU392" s="24"/>
      <c r="AV392" s="24"/>
    </row>
    <row r="393" spans="2:48" ht="14.25" thickBot="1" thickTop="1">
      <c r="B393" s="208">
        <v>30</v>
      </c>
      <c r="C393" s="38"/>
      <c r="D393" s="35"/>
      <c r="E393" s="144"/>
      <c r="F393" s="206"/>
      <c r="G393" s="12" t="s">
        <v>14</v>
      </c>
      <c r="H393" s="43">
        <v>18943.25</v>
      </c>
      <c r="I393" s="21">
        <v>18023.33</v>
      </c>
      <c r="J393" s="43"/>
      <c r="K393" s="214"/>
      <c r="L393" s="214"/>
      <c r="M393" s="214"/>
      <c r="N393" s="210">
        <f t="shared" si="116"/>
        <v>901.1665000000002</v>
      </c>
      <c r="O393" s="10">
        <f t="shared" si="117"/>
        <v>1860.67</v>
      </c>
      <c r="P393" s="104"/>
      <c r="Q393" s="25">
        <v>960</v>
      </c>
      <c r="R393" s="25"/>
      <c r="S393" s="25"/>
      <c r="T393" s="25"/>
      <c r="U393" s="25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25"/>
      <c r="AO393" s="25"/>
      <c r="AP393" s="25"/>
      <c r="AQ393" s="25"/>
      <c r="AR393" s="25"/>
      <c r="AS393" s="25">
        <v>900.67</v>
      </c>
      <c r="AT393" s="25"/>
      <c r="AU393" s="25"/>
      <c r="AV393" s="128">
        <f>AV381+I381+J381-K381-L381-M381-N381-O381</f>
        <v>93280.14899999998</v>
      </c>
    </row>
    <row r="394" spans="2:48" ht="14.25" thickBot="1" thickTop="1">
      <c r="B394" s="155">
        <v>31</v>
      </c>
      <c r="C394" s="147" t="s">
        <v>159</v>
      </c>
      <c r="D394" s="67">
        <v>45</v>
      </c>
      <c r="E394" s="125" t="s">
        <v>234</v>
      </c>
      <c r="F394" s="207">
        <v>3141.7</v>
      </c>
      <c r="G394" s="188"/>
      <c r="H394" s="69">
        <v>167552.83</v>
      </c>
      <c r="I394" s="69">
        <v>147342.09</v>
      </c>
      <c r="J394" s="69">
        <f>SUM(J395:J406)</f>
        <v>0</v>
      </c>
      <c r="K394" s="211">
        <f>SUM(K395:K406)</f>
        <v>0</v>
      </c>
      <c r="L394" s="211">
        <f>SUM(L395:L406)</f>
        <v>0</v>
      </c>
      <c r="M394" s="211">
        <f>SUM(M395:M406)</f>
        <v>0</v>
      </c>
      <c r="N394" s="215">
        <f>SUM(N395:N406)</f>
        <v>7367.1045</v>
      </c>
      <c r="O394" s="16">
        <f>SUM(Q394:AU394)</f>
        <v>50224.369999999995</v>
      </c>
      <c r="P394" s="99"/>
      <c r="Q394" s="11">
        <f aca="true" t="shared" si="118" ref="Q394:AL394">SUM(Q395:Q406)</f>
        <v>9882</v>
      </c>
      <c r="R394" s="11">
        <f t="shared" si="118"/>
        <v>0</v>
      </c>
      <c r="S394" s="11">
        <f t="shared" si="118"/>
        <v>2292</v>
      </c>
      <c r="T394" s="11">
        <f t="shared" si="118"/>
        <v>0</v>
      </c>
      <c r="U394" s="11">
        <f t="shared" si="118"/>
        <v>0</v>
      </c>
      <c r="V394" s="50">
        <f t="shared" si="118"/>
        <v>0</v>
      </c>
      <c r="W394" s="50">
        <f t="shared" si="118"/>
        <v>743</v>
      </c>
      <c r="X394" s="50">
        <f t="shared" si="118"/>
        <v>471</v>
      </c>
      <c r="Y394" s="50">
        <f t="shared" si="118"/>
        <v>0</v>
      </c>
      <c r="Z394" s="50">
        <f t="shared" si="118"/>
        <v>0</v>
      </c>
      <c r="AA394" s="50">
        <f t="shared" si="118"/>
        <v>0</v>
      </c>
      <c r="AB394" s="50">
        <f t="shared" si="118"/>
        <v>0</v>
      </c>
      <c r="AC394" s="50">
        <f t="shared" si="118"/>
        <v>18778</v>
      </c>
      <c r="AD394" s="50">
        <f t="shared" si="118"/>
        <v>446</v>
      </c>
      <c r="AE394" s="50">
        <f t="shared" si="118"/>
        <v>0</v>
      </c>
      <c r="AF394" s="50">
        <f t="shared" si="118"/>
        <v>0</v>
      </c>
      <c r="AG394" s="50">
        <f t="shared" si="118"/>
        <v>0</v>
      </c>
      <c r="AH394" s="50">
        <f t="shared" si="118"/>
        <v>0</v>
      </c>
      <c r="AI394" s="50">
        <f t="shared" si="118"/>
        <v>7135</v>
      </c>
      <c r="AJ394" s="50">
        <f t="shared" si="118"/>
        <v>990</v>
      </c>
      <c r="AK394" s="50">
        <f t="shared" si="118"/>
        <v>0</v>
      </c>
      <c r="AL394" s="50">
        <f t="shared" si="118"/>
        <v>0</v>
      </c>
      <c r="AM394" s="50">
        <f aca="true" t="shared" si="119" ref="AM394:AU394">SUM(AM395:AM406)</f>
        <v>0</v>
      </c>
      <c r="AN394" s="11">
        <f t="shared" si="119"/>
        <v>0</v>
      </c>
      <c r="AO394" s="11">
        <f t="shared" si="119"/>
        <v>0</v>
      </c>
      <c r="AP394" s="11">
        <f t="shared" si="119"/>
        <v>0</v>
      </c>
      <c r="AQ394" s="11">
        <f>SUM(AQ395:AQ406)</f>
        <v>0</v>
      </c>
      <c r="AR394" s="11">
        <f>SUM(AR395:AR406)</f>
        <v>0</v>
      </c>
      <c r="AS394" s="11">
        <f t="shared" si="119"/>
        <v>9487.369999999999</v>
      </c>
      <c r="AT394" s="11">
        <f t="shared" si="119"/>
        <v>0</v>
      </c>
      <c r="AU394" s="11">
        <f t="shared" si="119"/>
        <v>0</v>
      </c>
      <c r="AV394" s="127">
        <v>0</v>
      </c>
    </row>
    <row r="395" spans="2:48" ht="14.25" thickBot="1" thickTop="1">
      <c r="B395" s="208">
        <v>31</v>
      </c>
      <c r="C395" s="36"/>
      <c r="D395" s="31"/>
      <c r="E395" s="124"/>
      <c r="F395" s="204"/>
      <c r="G395" s="61" t="s">
        <v>3</v>
      </c>
      <c r="H395" s="41"/>
      <c r="I395" s="19">
        <v>0</v>
      </c>
      <c r="J395" s="41"/>
      <c r="K395" s="212"/>
      <c r="L395" s="212"/>
      <c r="M395" s="212"/>
      <c r="N395" s="210">
        <f aca="true" t="shared" si="120" ref="N395:N406">I395*0.05</f>
        <v>0</v>
      </c>
      <c r="O395" s="10">
        <f>SUM(Q395:AU395)</f>
        <v>0</v>
      </c>
      <c r="P395" s="106"/>
      <c r="Q395" s="39"/>
      <c r="R395" s="23"/>
      <c r="S395" s="23"/>
      <c r="T395" s="23"/>
      <c r="U395" s="23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23"/>
      <c r="AO395" s="23"/>
      <c r="AP395" s="23"/>
      <c r="AQ395" s="23"/>
      <c r="AR395" s="23"/>
      <c r="AS395" s="23"/>
      <c r="AT395" s="23"/>
      <c r="AU395" s="23"/>
      <c r="AV395" s="23"/>
    </row>
    <row r="396" spans="2:48" ht="14.25" thickBot="1" thickTop="1">
      <c r="B396" s="208">
        <v>31</v>
      </c>
      <c r="C396" s="37"/>
      <c r="D396" s="33"/>
      <c r="E396" s="90"/>
      <c r="F396" s="86"/>
      <c r="G396" s="62" t="s">
        <v>4</v>
      </c>
      <c r="H396" s="41"/>
      <c r="I396" s="20">
        <v>0</v>
      </c>
      <c r="J396" s="41"/>
      <c r="K396" s="212"/>
      <c r="L396" s="212"/>
      <c r="M396" s="212"/>
      <c r="N396" s="210">
        <f t="shared" si="120"/>
        <v>0</v>
      </c>
      <c r="O396" s="10">
        <f>SUM(Q396:AU396)</f>
        <v>0</v>
      </c>
      <c r="P396" s="101"/>
      <c r="Q396" s="48"/>
      <c r="R396" s="24"/>
      <c r="S396" s="45"/>
      <c r="T396" s="24"/>
      <c r="U396" s="24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24"/>
      <c r="AO396" s="24"/>
      <c r="AP396" s="24"/>
      <c r="AQ396" s="24"/>
      <c r="AR396" s="24"/>
      <c r="AS396" s="24"/>
      <c r="AT396" s="23"/>
      <c r="AU396" s="24"/>
      <c r="AV396" s="24"/>
    </row>
    <row r="397" spans="2:48" ht="14.25" thickBot="1" thickTop="1">
      <c r="B397" s="208">
        <v>31</v>
      </c>
      <c r="C397" s="37"/>
      <c r="D397" s="33"/>
      <c r="E397" s="88"/>
      <c r="F397" s="86"/>
      <c r="G397" s="8" t="s">
        <v>5</v>
      </c>
      <c r="H397" s="41">
        <v>11153.21</v>
      </c>
      <c r="I397" s="20">
        <v>0</v>
      </c>
      <c r="J397" s="41"/>
      <c r="K397" s="212"/>
      <c r="L397" s="212"/>
      <c r="M397" s="212"/>
      <c r="N397" s="210">
        <f t="shared" si="120"/>
        <v>0</v>
      </c>
      <c r="O397" s="10">
        <f aca="true" t="shared" si="121" ref="O397:O406">SUM(Q397:AU397)</f>
        <v>911.09</v>
      </c>
      <c r="P397" s="101"/>
      <c r="Q397" s="48"/>
      <c r="R397" s="24"/>
      <c r="S397" s="45"/>
      <c r="T397" s="24"/>
      <c r="U397" s="24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24"/>
      <c r="AO397" s="24"/>
      <c r="AP397" s="24"/>
      <c r="AQ397" s="24"/>
      <c r="AR397" s="24"/>
      <c r="AS397" s="24">
        <v>911.09</v>
      </c>
      <c r="AT397" s="23"/>
      <c r="AU397" s="23"/>
      <c r="AV397" s="24"/>
    </row>
    <row r="398" spans="2:48" ht="14.25" thickBot="1" thickTop="1">
      <c r="B398" s="208">
        <v>31</v>
      </c>
      <c r="C398" s="37"/>
      <c r="D398" s="33"/>
      <c r="E398" s="88"/>
      <c r="F398" s="86"/>
      <c r="G398" s="8" t="s">
        <v>6</v>
      </c>
      <c r="H398" s="41">
        <v>11153.21</v>
      </c>
      <c r="I398" s="20">
        <v>9068.65</v>
      </c>
      <c r="J398" s="41"/>
      <c r="K398" s="212"/>
      <c r="L398" s="212"/>
      <c r="M398" s="212"/>
      <c r="N398" s="210">
        <f t="shared" si="120"/>
        <v>453.4325</v>
      </c>
      <c r="O398" s="10">
        <f t="shared" si="121"/>
        <v>2701.04</v>
      </c>
      <c r="P398" s="103"/>
      <c r="Q398" s="48"/>
      <c r="R398" s="24"/>
      <c r="S398" s="48">
        <v>964</v>
      </c>
      <c r="T398" s="24"/>
      <c r="U398" s="24"/>
      <c r="V398" s="48"/>
      <c r="W398" s="48"/>
      <c r="X398" s="48">
        <v>380</v>
      </c>
      <c r="Y398" s="48"/>
      <c r="Z398" s="48"/>
      <c r="AA398" s="48"/>
      <c r="AB398" s="48"/>
      <c r="AC398" s="48"/>
      <c r="AD398" s="48">
        <f>251+195</f>
        <v>446</v>
      </c>
      <c r="AE398" s="48"/>
      <c r="AF398" s="48"/>
      <c r="AG398" s="48"/>
      <c r="AH398" s="48"/>
      <c r="AI398" s="48"/>
      <c r="AJ398" s="48"/>
      <c r="AK398" s="48"/>
      <c r="AL398" s="48"/>
      <c r="AM398" s="48"/>
      <c r="AN398" s="24"/>
      <c r="AO398" s="24"/>
      <c r="AP398" s="24"/>
      <c r="AQ398" s="24"/>
      <c r="AR398" s="24"/>
      <c r="AS398" s="24">
        <v>911.04</v>
      </c>
      <c r="AT398" s="24"/>
      <c r="AU398" s="24"/>
      <c r="AV398" s="24"/>
    </row>
    <row r="399" spans="2:48" ht="14.25" thickBot="1" thickTop="1">
      <c r="B399" s="208">
        <v>31</v>
      </c>
      <c r="C399" s="37"/>
      <c r="D399" s="33"/>
      <c r="E399" s="88"/>
      <c r="F399" s="86"/>
      <c r="G399" s="8" t="s">
        <v>7</v>
      </c>
      <c r="H399" s="41">
        <v>10761.21</v>
      </c>
      <c r="I399" s="20">
        <v>12713.12</v>
      </c>
      <c r="J399" s="41"/>
      <c r="K399" s="212"/>
      <c r="L399" s="212"/>
      <c r="M399" s="212"/>
      <c r="N399" s="210">
        <f t="shared" si="120"/>
        <v>635.6560000000001</v>
      </c>
      <c r="O399" s="10">
        <f t="shared" si="121"/>
        <v>4160.04</v>
      </c>
      <c r="P399" s="101"/>
      <c r="Q399" s="48">
        <v>2415</v>
      </c>
      <c r="R399" s="24"/>
      <c r="S399" s="24"/>
      <c r="T399" s="24"/>
      <c r="U399" s="24"/>
      <c r="V399" s="48"/>
      <c r="W399" s="48">
        <v>743</v>
      </c>
      <c r="X399" s="48">
        <v>91</v>
      </c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24"/>
      <c r="AO399" s="24"/>
      <c r="AP399" s="24"/>
      <c r="AQ399" s="24"/>
      <c r="AR399" s="24"/>
      <c r="AS399" s="24">
        <v>911.04</v>
      </c>
      <c r="AT399" s="23"/>
      <c r="AU399" s="24"/>
      <c r="AV399" s="24"/>
    </row>
    <row r="400" spans="2:48" ht="14.25" thickBot="1" thickTop="1">
      <c r="B400" s="208">
        <v>31</v>
      </c>
      <c r="C400" s="37"/>
      <c r="D400" s="33"/>
      <c r="E400" s="88"/>
      <c r="F400" s="86"/>
      <c r="G400" s="8" t="s">
        <v>8</v>
      </c>
      <c r="H400" s="41">
        <v>11652.5</v>
      </c>
      <c r="I400" s="20">
        <v>10607.61</v>
      </c>
      <c r="J400" s="41"/>
      <c r="K400" s="212"/>
      <c r="L400" s="212"/>
      <c r="M400" s="212"/>
      <c r="N400" s="210">
        <f t="shared" si="120"/>
        <v>530.3805000000001</v>
      </c>
      <c r="O400" s="10">
        <f t="shared" si="121"/>
        <v>5185.04</v>
      </c>
      <c r="P400" s="101"/>
      <c r="Q400" s="48">
        <v>648</v>
      </c>
      <c r="R400" s="24"/>
      <c r="S400" s="24"/>
      <c r="T400" s="24"/>
      <c r="U400" s="24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>
        <v>3626</v>
      </c>
      <c r="AJ400" s="48"/>
      <c r="AK400" s="48"/>
      <c r="AL400" s="48"/>
      <c r="AM400" s="48"/>
      <c r="AN400" s="24"/>
      <c r="AO400" s="24"/>
      <c r="AP400" s="24"/>
      <c r="AQ400" s="24"/>
      <c r="AR400" s="24"/>
      <c r="AS400" s="24">
        <v>911.04</v>
      </c>
      <c r="AT400" s="24"/>
      <c r="AU400" s="24"/>
      <c r="AV400" s="24"/>
    </row>
    <row r="401" spans="2:48" ht="14.25" thickBot="1" thickTop="1">
      <c r="B401" s="208">
        <v>31</v>
      </c>
      <c r="C401" s="37"/>
      <c r="D401" s="33"/>
      <c r="E401" s="88"/>
      <c r="F401" s="86"/>
      <c r="G401" s="8" t="s">
        <v>9</v>
      </c>
      <c r="H401" s="41">
        <v>20451.17</v>
      </c>
      <c r="I401" s="20">
        <v>11002.18</v>
      </c>
      <c r="J401" s="41"/>
      <c r="K401" s="212"/>
      <c r="L401" s="212"/>
      <c r="M401" s="212"/>
      <c r="N401" s="210">
        <f t="shared" si="120"/>
        <v>550.109</v>
      </c>
      <c r="O401" s="10">
        <f t="shared" si="121"/>
        <v>1552.8600000000001</v>
      </c>
      <c r="P401" s="101"/>
      <c r="Q401" s="48">
        <v>579</v>
      </c>
      <c r="R401" s="24"/>
      <c r="S401" s="24"/>
      <c r="T401" s="24"/>
      <c r="U401" s="24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24"/>
      <c r="AO401" s="24"/>
      <c r="AP401" s="24"/>
      <c r="AQ401" s="24"/>
      <c r="AR401" s="24"/>
      <c r="AS401" s="24">
        <v>973.86</v>
      </c>
      <c r="AT401" s="24"/>
      <c r="AU401" s="24"/>
      <c r="AV401" s="24"/>
    </row>
    <row r="402" spans="2:48" ht="14.25" thickBot="1" thickTop="1">
      <c r="B402" s="208">
        <v>31</v>
      </c>
      <c r="C402" s="37"/>
      <c r="D402" s="33"/>
      <c r="E402" s="88"/>
      <c r="F402" s="86"/>
      <c r="G402" s="8" t="s">
        <v>10</v>
      </c>
      <c r="H402" s="41">
        <v>20451.17</v>
      </c>
      <c r="I402" s="20">
        <v>18992.16</v>
      </c>
      <c r="J402" s="41"/>
      <c r="K402" s="212"/>
      <c r="L402" s="212"/>
      <c r="M402" s="212"/>
      <c r="N402" s="210">
        <f t="shared" si="120"/>
        <v>949.6080000000001</v>
      </c>
      <c r="O402" s="10">
        <f t="shared" si="121"/>
        <v>1552.8600000000001</v>
      </c>
      <c r="P402" s="101"/>
      <c r="Q402" s="48">
        <v>579</v>
      </c>
      <c r="R402" s="24"/>
      <c r="S402" s="24"/>
      <c r="T402" s="24"/>
      <c r="U402" s="24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24"/>
      <c r="AO402" s="24"/>
      <c r="AP402" s="24"/>
      <c r="AQ402" s="24"/>
      <c r="AR402" s="24"/>
      <c r="AS402" s="24">
        <v>973.86</v>
      </c>
      <c r="AT402" s="24"/>
      <c r="AU402" s="24"/>
      <c r="AV402" s="24"/>
    </row>
    <row r="403" spans="2:48" ht="14.25" thickBot="1" thickTop="1">
      <c r="B403" s="208">
        <v>31</v>
      </c>
      <c r="C403" s="37"/>
      <c r="D403" s="33"/>
      <c r="E403" s="88"/>
      <c r="F403" s="86"/>
      <c r="G403" s="8" t="s">
        <v>11</v>
      </c>
      <c r="H403" s="41">
        <v>20451.17</v>
      </c>
      <c r="I403" s="20">
        <v>16061.54</v>
      </c>
      <c r="J403" s="41"/>
      <c r="K403" s="212"/>
      <c r="L403" s="212"/>
      <c r="M403" s="212"/>
      <c r="N403" s="210">
        <f t="shared" si="120"/>
        <v>803.0770000000001</v>
      </c>
      <c r="O403" s="10">
        <f t="shared" si="121"/>
        <v>20330.86</v>
      </c>
      <c r="P403" s="101"/>
      <c r="Q403" s="24">
        <v>579</v>
      </c>
      <c r="R403" s="24"/>
      <c r="S403" s="24"/>
      <c r="T403" s="24"/>
      <c r="U403" s="24"/>
      <c r="V403" s="48"/>
      <c r="W403" s="48"/>
      <c r="X403" s="48"/>
      <c r="Y403" s="48"/>
      <c r="Z403" s="48"/>
      <c r="AA403" s="48"/>
      <c r="AB403" s="48"/>
      <c r="AC403" s="48">
        <v>18778</v>
      </c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24"/>
      <c r="AO403" s="24"/>
      <c r="AP403" s="24"/>
      <c r="AQ403" s="24"/>
      <c r="AR403" s="24"/>
      <c r="AS403" s="24">
        <v>973.86</v>
      </c>
      <c r="AT403" s="24"/>
      <c r="AU403" s="24"/>
      <c r="AV403" s="24"/>
    </row>
    <row r="404" spans="2:48" ht="14.25" thickBot="1" thickTop="1">
      <c r="B404" s="208">
        <v>31</v>
      </c>
      <c r="C404" s="37"/>
      <c r="D404" s="33"/>
      <c r="E404" s="88"/>
      <c r="F404" s="86"/>
      <c r="G404" s="8" t="s">
        <v>12</v>
      </c>
      <c r="H404" s="41">
        <v>20514.01</v>
      </c>
      <c r="I404" s="20">
        <v>33684.47</v>
      </c>
      <c r="J404" s="41"/>
      <c r="K404" s="212"/>
      <c r="L404" s="212"/>
      <c r="M404" s="212"/>
      <c r="N404" s="210">
        <f t="shared" si="120"/>
        <v>1684.2235</v>
      </c>
      <c r="O404" s="10">
        <f t="shared" si="121"/>
        <v>4069.86</v>
      </c>
      <c r="P404" s="111" t="s">
        <v>381</v>
      </c>
      <c r="Q404" s="24">
        <v>1768</v>
      </c>
      <c r="R404" s="24"/>
      <c r="S404" s="48">
        <v>1328</v>
      </c>
      <c r="T404" s="24"/>
      <c r="U404" s="24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24"/>
      <c r="AO404" s="24"/>
      <c r="AP404" s="24"/>
      <c r="AQ404" s="24"/>
      <c r="AR404" s="24"/>
      <c r="AS404" s="24">
        <v>973.86</v>
      </c>
      <c r="AT404" s="24"/>
      <c r="AU404" s="24"/>
      <c r="AV404" s="24"/>
    </row>
    <row r="405" spans="2:48" ht="14.25" thickBot="1" thickTop="1">
      <c r="B405" s="208">
        <v>31</v>
      </c>
      <c r="C405" s="37"/>
      <c r="D405" s="33"/>
      <c r="E405" s="88"/>
      <c r="F405" s="86"/>
      <c r="G405" s="8" t="s">
        <v>13</v>
      </c>
      <c r="H405" s="41">
        <v>20482.59</v>
      </c>
      <c r="I405" s="20">
        <v>12862.81</v>
      </c>
      <c r="J405" s="41"/>
      <c r="K405" s="212"/>
      <c r="L405" s="212"/>
      <c r="M405" s="212"/>
      <c r="N405" s="210">
        <f t="shared" si="120"/>
        <v>643.1405</v>
      </c>
      <c r="O405" s="10">
        <f t="shared" si="121"/>
        <v>6775.86</v>
      </c>
      <c r="P405" s="101"/>
      <c r="Q405" s="24">
        <v>1303</v>
      </c>
      <c r="R405" s="24"/>
      <c r="S405" s="24"/>
      <c r="T405" s="24"/>
      <c r="U405" s="24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>
        <v>3509</v>
      </c>
      <c r="AJ405" s="48">
        <v>990</v>
      </c>
      <c r="AK405" s="48"/>
      <c r="AL405" s="48"/>
      <c r="AM405" s="48"/>
      <c r="AN405" s="24"/>
      <c r="AO405" s="24"/>
      <c r="AP405" s="24"/>
      <c r="AQ405" s="24"/>
      <c r="AR405" s="24"/>
      <c r="AS405" s="24">
        <v>973.86</v>
      </c>
      <c r="AT405" s="24"/>
      <c r="AU405" s="24"/>
      <c r="AV405" s="24"/>
    </row>
    <row r="406" spans="2:48" ht="14.25" thickBot="1" thickTop="1">
      <c r="B406" s="208">
        <v>31</v>
      </c>
      <c r="C406" s="38"/>
      <c r="D406" s="35"/>
      <c r="E406" s="125"/>
      <c r="F406" s="189"/>
      <c r="G406" s="12" t="s">
        <v>14</v>
      </c>
      <c r="H406" s="43">
        <v>20482.59</v>
      </c>
      <c r="I406" s="21">
        <v>22349.55</v>
      </c>
      <c r="J406" s="43"/>
      <c r="K406" s="214"/>
      <c r="L406" s="214"/>
      <c r="M406" s="214"/>
      <c r="N406" s="210">
        <f t="shared" si="120"/>
        <v>1117.4775</v>
      </c>
      <c r="O406" s="10">
        <f t="shared" si="121"/>
        <v>2984.86</v>
      </c>
      <c r="P406" s="104"/>
      <c r="Q406" s="25">
        <v>2011</v>
      </c>
      <c r="R406" s="25"/>
      <c r="S406" s="25"/>
      <c r="T406" s="25"/>
      <c r="U406" s="25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25"/>
      <c r="AO406" s="25"/>
      <c r="AP406" s="25"/>
      <c r="AQ406" s="25"/>
      <c r="AR406" s="25"/>
      <c r="AS406" s="25">
        <v>973.86</v>
      </c>
      <c r="AT406" s="25"/>
      <c r="AU406" s="25"/>
      <c r="AV406" s="128">
        <f>AV394+I394+J394-K394-L394-M394-N394-O394</f>
        <v>89750.61550000001</v>
      </c>
    </row>
    <row r="407" spans="2:48" ht="14.25" thickBot="1" thickTop="1">
      <c r="B407" s="155">
        <v>32</v>
      </c>
      <c r="C407" s="147" t="s">
        <v>66</v>
      </c>
      <c r="D407" s="67">
        <v>6</v>
      </c>
      <c r="E407" s="125"/>
      <c r="F407" s="207"/>
      <c r="G407" s="188"/>
      <c r="H407" s="69">
        <v>5409.5</v>
      </c>
      <c r="I407" s="69">
        <v>4096.64</v>
      </c>
      <c r="J407" s="69">
        <f>SUM(J408:J419)</f>
        <v>0</v>
      </c>
      <c r="K407" s="211">
        <f>SUM(K408:K419)</f>
        <v>0</v>
      </c>
      <c r="L407" s="211">
        <f>SUM(L408:L419)</f>
        <v>0</v>
      </c>
      <c r="M407" s="211">
        <f>SUM(M408:M419)</f>
        <v>0</v>
      </c>
      <c r="N407" s="215">
        <f>SUM(N408:N419)</f>
        <v>204.83200000000002</v>
      </c>
      <c r="O407" s="16">
        <f>SUM(Q407:AU407)</f>
        <v>5643.98</v>
      </c>
      <c r="P407" s="99"/>
      <c r="Q407" s="11">
        <f>SUM(Q408:Q419)</f>
        <v>0</v>
      </c>
      <c r="R407" s="11">
        <f aca="true" t="shared" si="122" ref="R407:AL407">SUM(R408:R419)</f>
        <v>0</v>
      </c>
      <c r="S407" s="11">
        <f t="shared" si="122"/>
        <v>0</v>
      </c>
      <c r="T407" s="11">
        <f t="shared" si="122"/>
        <v>0</v>
      </c>
      <c r="U407" s="11">
        <f t="shared" si="122"/>
        <v>0</v>
      </c>
      <c r="V407" s="50">
        <f t="shared" si="122"/>
        <v>658</v>
      </c>
      <c r="W407" s="50">
        <f t="shared" si="122"/>
        <v>0</v>
      </c>
      <c r="X407" s="50">
        <f t="shared" si="122"/>
        <v>0</v>
      </c>
      <c r="Y407" s="50">
        <f t="shared" si="122"/>
        <v>0</v>
      </c>
      <c r="Z407" s="50">
        <f t="shared" si="122"/>
        <v>0</v>
      </c>
      <c r="AA407" s="50">
        <f t="shared" si="122"/>
        <v>0</v>
      </c>
      <c r="AB407" s="50">
        <f t="shared" si="122"/>
        <v>0</v>
      </c>
      <c r="AC407" s="50">
        <f t="shared" si="122"/>
        <v>2734</v>
      </c>
      <c r="AD407" s="50">
        <f t="shared" si="122"/>
        <v>685</v>
      </c>
      <c r="AE407" s="50">
        <f t="shared" si="122"/>
        <v>0</v>
      </c>
      <c r="AF407" s="50">
        <f t="shared" si="122"/>
        <v>0</v>
      </c>
      <c r="AG407" s="50">
        <f t="shared" si="122"/>
        <v>0</v>
      </c>
      <c r="AH407" s="50">
        <f t="shared" si="122"/>
        <v>0</v>
      </c>
      <c r="AI407" s="50">
        <f t="shared" si="122"/>
        <v>0</v>
      </c>
      <c r="AJ407" s="50">
        <f t="shared" si="122"/>
        <v>0</v>
      </c>
      <c r="AK407" s="50">
        <f t="shared" si="122"/>
        <v>0</v>
      </c>
      <c r="AL407" s="50">
        <f t="shared" si="122"/>
        <v>0</v>
      </c>
      <c r="AM407" s="50">
        <f aca="true" t="shared" si="123" ref="AM407:AU407">SUM(AM408:AM419)</f>
        <v>1309.78</v>
      </c>
      <c r="AN407" s="11">
        <f t="shared" si="123"/>
        <v>0</v>
      </c>
      <c r="AO407" s="11">
        <f t="shared" si="123"/>
        <v>0</v>
      </c>
      <c r="AP407" s="11">
        <f t="shared" si="123"/>
        <v>0</v>
      </c>
      <c r="AQ407" s="11">
        <f t="shared" si="123"/>
        <v>0</v>
      </c>
      <c r="AR407" s="11">
        <f>SUM(AR408:AR419)</f>
        <v>0</v>
      </c>
      <c r="AS407" s="11">
        <f t="shared" si="123"/>
        <v>257.2</v>
      </c>
      <c r="AT407" s="11">
        <f t="shared" si="123"/>
        <v>0</v>
      </c>
      <c r="AU407" s="11">
        <f t="shared" si="123"/>
        <v>0</v>
      </c>
      <c r="AV407" s="127">
        <v>0</v>
      </c>
    </row>
    <row r="408" spans="2:48" ht="14.25" thickBot="1" thickTop="1">
      <c r="B408" s="208">
        <v>32</v>
      </c>
      <c r="C408" s="36"/>
      <c r="D408" s="31"/>
      <c r="E408" s="124"/>
      <c r="F408" s="204"/>
      <c r="G408" s="61" t="s">
        <v>3</v>
      </c>
      <c r="H408" s="41">
        <v>0</v>
      </c>
      <c r="I408" s="19">
        <v>0</v>
      </c>
      <c r="J408" s="41"/>
      <c r="K408" s="212"/>
      <c r="L408" s="212"/>
      <c r="M408" s="212"/>
      <c r="N408" s="210">
        <f aca="true" t="shared" si="124" ref="N408:N419">I408*0.05</f>
        <v>0</v>
      </c>
      <c r="O408" s="10">
        <f>SUM(Q408:AU408)</f>
        <v>0</v>
      </c>
      <c r="P408" s="106"/>
      <c r="Q408" s="39"/>
      <c r="R408" s="23"/>
      <c r="S408" s="23"/>
      <c r="T408" s="23"/>
      <c r="U408" s="23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23"/>
      <c r="AO408" s="23"/>
      <c r="AP408" s="23"/>
      <c r="AQ408" s="23"/>
      <c r="AR408" s="23"/>
      <c r="AS408" s="23"/>
      <c r="AT408" s="23"/>
      <c r="AU408" s="23"/>
      <c r="AV408" s="23"/>
    </row>
    <row r="409" spans="2:48" ht="14.25" thickBot="1" thickTop="1">
      <c r="B409" s="208">
        <v>32</v>
      </c>
      <c r="C409" s="37"/>
      <c r="D409" s="33"/>
      <c r="E409" s="90"/>
      <c r="F409" s="86"/>
      <c r="G409" s="62" t="s">
        <v>4</v>
      </c>
      <c r="H409" s="41">
        <v>0</v>
      </c>
      <c r="I409" s="20">
        <v>0</v>
      </c>
      <c r="J409" s="41"/>
      <c r="K409" s="212"/>
      <c r="L409" s="212"/>
      <c r="M409" s="212"/>
      <c r="N409" s="210">
        <f t="shared" si="124"/>
        <v>0</v>
      </c>
      <c r="O409" s="10">
        <f>SUM(Q409:AU409)</f>
        <v>0</v>
      </c>
      <c r="P409" s="101"/>
      <c r="Q409" s="48"/>
      <c r="R409" s="24"/>
      <c r="S409" s="45"/>
      <c r="T409" s="24"/>
      <c r="U409" s="24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24"/>
      <c r="AO409" s="24"/>
      <c r="AP409" s="24"/>
      <c r="AQ409" s="24"/>
      <c r="AR409" s="24"/>
      <c r="AS409" s="24"/>
      <c r="AT409" s="23"/>
      <c r="AU409" s="24"/>
      <c r="AV409" s="24"/>
    </row>
    <row r="410" spans="2:48" ht="14.25" thickBot="1" thickTop="1">
      <c r="B410" s="208">
        <v>32</v>
      </c>
      <c r="C410" s="37"/>
      <c r="D410" s="33"/>
      <c r="E410" s="88"/>
      <c r="F410" s="86"/>
      <c r="G410" s="8" t="s">
        <v>5</v>
      </c>
      <c r="H410" s="41">
        <v>0</v>
      </c>
      <c r="I410" s="20">
        <v>0</v>
      </c>
      <c r="J410" s="41"/>
      <c r="K410" s="212"/>
      <c r="L410" s="212"/>
      <c r="M410" s="212"/>
      <c r="N410" s="210">
        <f t="shared" si="124"/>
        <v>0</v>
      </c>
      <c r="O410" s="10">
        <f aca="true" t="shared" si="125" ref="O410:O419">SUM(Q410:AU410)</f>
        <v>0</v>
      </c>
      <c r="P410" s="101"/>
      <c r="Q410" s="48"/>
      <c r="R410" s="24"/>
      <c r="S410" s="45"/>
      <c r="T410" s="24"/>
      <c r="U410" s="24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24"/>
      <c r="AO410" s="24"/>
      <c r="AP410" s="24"/>
      <c r="AQ410" s="24"/>
      <c r="AR410" s="24"/>
      <c r="AS410" s="24"/>
      <c r="AT410" s="23"/>
      <c r="AU410" s="23"/>
      <c r="AV410" s="24"/>
    </row>
    <row r="411" spans="2:48" ht="14.25" thickBot="1" thickTop="1">
      <c r="B411" s="208">
        <v>32</v>
      </c>
      <c r="C411" s="37"/>
      <c r="D411" s="33"/>
      <c r="E411" s="88"/>
      <c r="F411" s="86"/>
      <c r="G411" s="8" t="s">
        <v>6</v>
      </c>
      <c r="H411" s="41">
        <v>0</v>
      </c>
      <c r="I411" s="20">
        <v>0</v>
      </c>
      <c r="J411" s="41"/>
      <c r="K411" s="212"/>
      <c r="L411" s="212"/>
      <c r="M411" s="212"/>
      <c r="N411" s="210">
        <f t="shared" si="124"/>
        <v>0</v>
      </c>
      <c r="O411" s="10">
        <f t="shared" si="125"/>
        <v>0</v>
      </c>
      <c r="P411" s="103"/>
      <c r="Q411" s="48"/>
      <c r="R411" s="24"/>
      <c r="S411" s="24"/>
      <c r="T411" s="24"/>
      <c r="U411" s="24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24"/>
      <c r="AO411" s="24"/>
      <c r="AP411" s="24"/>
      <c r="AQ411" s="24"/>
      <c r="AR411" s="24"/>
      <c r="AS411" s="24"/>
      <c r="AT411" s="24"/>
      <c r="AU411" s="24"/>
      <c r="AV411" s="24"/>
    </row>
    <row r="412" spans="2:48" ht="14.25" thickBot="1" thickTop="1">
      <c r="B412" s="208">
        <v>32</v>
      </c>
      <c r="C412" s="37"/>
      <c r="D412" s="33"/>
      <c r="E412" s="88"/>
      <c r="F412" s="86"/>
      <c r="G412" s="8" t="s">
        <v>7</v>
      </c>
      <c r="H412" s="41">
        <v>0</v>
      </c>
      <c r="I412" s="20">
        <v>0</v>
      </c>
      <c r="J412" s="41"/>
      <c r="K412" s="212"/>
      <c r="L412" s="212"/>
      <c r="M412" s="212"/>
      <c r="N412" s="210">
        <f t="shared" si="124"/>
        <v>0</v>
      </c>
      <c r="O412" s="10">
        <f t="shared" si="125"/>
        <v>0</v>
      </c>
      <c r="P412" s="101"/>
      <c r="Q412" s="48"/>
      <c r="R412" s="24"/>
      <c r="S412" s="24"/>
      <c r="T412" s="24"/>
      <c r="U412" s="24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24"/>
      <c r="AO412" s="24"/>
      <c r="AP412" s="24"/>
      <c r="AQ412" s="24"/>
      <c r="AR412" s="24"/>
      <c r="AS412" s="24"/>
      <c r="AT412" s="23"/>
      <c r="AU412" s="24"/>
      <c r="AV412" s="24"/>
    </row>
    <row r="413" spans="2:48" ht="14.25" thickBot="1" thickTop="1">
      <c r="B413" s="208">
        <v>32</v>
      </c>
      <c r="C413" s="37"/>
      <c r="D413" s="33"/>
      <c r="E413" s="88"/>
      <c r="F413" s="86"/>
      <c r="G413" s="8" t="s">
        <v>8</v>
      </c>
      <c r="H413" s="41">
        <v>0</v>
      </c>
      <c r="I413" s="20">
        <v>0</v>
      </c>
      <c r="J413" s="41"/>
      <c r="K413" s="212"/>
      <c r="L413" s="212"/>
      <c r="M413" s="212"/>
      <c r="N413" s="210">
        <f t="shared" si="124"/>
        <v>0</v>
      </c>
      <c r="O413" s="10">
        <f t="shared" si="125"/>
        <v>0</v>
      </c>
      <c r="P413" s="101"/>
      <c r="Q413" s="48"/>
      <c r="R413" s="24"/>
      <c r="S413" s="24"/>
      <c r="T413" s="24"/>
      <c r="U413" s="24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24"/>
      <c r="AO413" s="24"/>
      <c r="AP413" s="24"/>
      <c r="AQ413" s="24"/>
      <c r="AR413" s="24"/>
      <c r="AS413" s="24"/>
      <c r="AT413" s="24"/>
      <c r="AU413" s="24"/>
      <c r="AV413" s="24"/>
    </row>
    <row r="414" spans="2:48" ht="14.25" thickBot="1" thickTop="1">
      <c r="B414" s="208">
        <v>32</v>
      </c>
      <c r="C414" s="37"/>
      <c r="D414" s="33"/>
      <c r="E414" s="88"/>
      <c r="F414" s="86"/>
      <c r="G414" s="8" t="s">
        <v>9</v>
      </c>
      <c r="H414" s="41">
        <v>0</v>
      </c>
      <c r="I414" s="20">
        <v>0</v>
      </c>
      <c r="J414" s="41"/>
      <c r="K414" s="212"/>
      <c r="L414" s="212"/>
      <c r="M414" s="212"/>
      <c r="N414" s="210">
        <f t="shared" si="124"/>
        <v>0</v>
      </c>
      <c r="O414" s="10">
        <f t="shared" si="125"/>
        <v>0</v>
      </c>
      <c r="P414" s="101"/>
      <c r="Q414" s="48"/>
      <c r="R414" s="24"/>
      <c r="S414" s="24"/>
      <c r="T414" s="24"/>
      <c r="U414" s="24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24"/>
      <c r="AO414" s="24"/>
      <c r="AP414" s="24"/>
      <c r="AQ414" s="24"/>
      <c r="AR414" s="24"/>
      <c r="AS414" s="24"/>
      <c r="AT414" s="24"/>
      <c r="AU414" s="24"/>
      <c r="AV414" s="24"/>
    </row>
    <row r="415" spans="2:48" ht="14.25" thickBot="1" thickTop="1">
      <c r="B415" s="208">
        <v>32</v>
      </c>
      <c r="C415" s="37"/>
      <c r="D415" s="33"/>
      <c r="E415" s="88"/>
      <c r="F415" s="86"/>
      <c r="G415" s="8" t="s">
        <v>10</v>
      </c>
      <c r="H415" s="41">
        <v>0</v>
      </c>
      <c r="I415" s="20">
        <v>0</v>
      </c>
      <c r="J415" s="41"/>
      <c r="K415" s="212"/>
      <c r="L415" s="212"/>
      <c r="M415" s="212"/>
      <c r="N415" s="210">
        <f t="shared" si="124"/>
        <v>0</v>
      </c>
      <c r="O415" s="10">
        <f t="shared" si="125"/>
        <v>0</v>
      </c>
      <c r="P415" s="101"/>
      <c r="Q415" s="48"/>
      <c r="R415" s="24"/>
      <c r="S415" s="24"/>
      <c r="T415" s="24"/>
      <c r="U415" s="24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24"/>
      <c r="AO415" s="24"/>
      <c r="AP415" s="24"/>
      <c r="AQ415" s="24"/>
      <c r="AR415" s="24"/>
      <c r="AS415" s="24"/>
      <c r="AT415" s="24"/>
      <c r="AU415" s="24"/>
      <c r="AV415" s="24"/>
    </row>
    <row r="416" spans="2:48" ht="14.25" thickBot="1" thickTop="1">
      <c r="B416" s="208">
        <v>32</v>
      </c>
      <c r="C416" s="37"/>
      <c r="D416" s="33"/>
      <c r="E416" s="88"/>
      <c r="F416" s="86"/>
      <c r="G416" s="8" t="s">
        <v>11</v>
      </c>
      <c r="H416" s="41">
        <v>0</v>
      </c>
      <c r="I416" s="20">
        <v>0</v>
      </c>
      <c r="J416" s="41"/>
      <c r="K416" s="212"/>
      <c r="L416" s="212"/>
      <c r="M416" s="212"/>
      <c r="N416" s="210">
        <f t="shared" si="124"/>
        <v>0</v>
      </c>
      <c r="O416" s="10">
        <f t="shared" si="125"/>
        <v>1309.78</v>
      </c>
      <c r="P416" s="101"/>
      <c r="Q416" s="24"/>
      <c r="R416" s="24"/>
      <c r="S416" s="24"/>
      <c r="T416" s="24"/>
      <c r="U416" s="24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>
        <v>1309.78</v>
      </c>
      <c r="AN416" s="24"/>
      <c r="AO416" s="24"/>
      <c r="AP416" s="24"/>
      <c r="AQ416" s="24"/>
      <c r="AR416" s="24"/>
      <c r="AS416" s="24"/>
      <c r="AT416" s="24"/>
      <c r="AU416" s="24"/>
      <c r="AV416" s="24"/>
    </row>
    <row r="417" spans="2:48" ht="14.25" thickBot="1" thickTop="1">
      <c r="B417" s="208">
        <v>32</v>
      </c>
      <c r="C417" s="37"/>
      <c r="D417" s="33"/>
      <c r="E417" s="88"/>
      <c r="F417" s="86"/>
      <c r="G417" s="8" t="s">
        <v>12</v>
      </c>
      <c r="H417" s="41">
        <v>0</v>
      </c>
      <c r="I417" s="20">
        <v>0</v>
      </c>
      <c r="J417" s="41"/>
      <c r="K417" s="212"/>
      <c r="L417" s="212"/>
      <c r="M417" s="212"/>
      <c r="N417" s="210">
        <f t="shared" si="124"/>
        <v>0</v>
      </c>
      <c r="O417" s="10">
        <f t="shared" si="125"/>
        <v>685</v>
      </c>
      <c r="P417" s="101" t="s">
        <v>306</v>
      </c>
      <c r="Q417" s="24"/>
      <c r="R417" s="24"/>
      <c r="S417" s="24"/>
      <c r="T417" s="24"/>
      <c r="U417" s="24"/>
      <c r="V417" s="48"/>
      <c r="W417" s="48"/>
      <c r="X417" s="48"/>
      <c r="Y417" s="48"/>
      <c r="Z417" s="48"/>
      <c r="AA417" s="48"/>
      <c r="AB417" s="48"/>
      <c r="AC417" s="48"/>
      <c r="AD417" s="48">
        <v>685</v>
      </c>
      <c r="AE417" s="48"/>
      <c r="AF417" s="48"/>
      <c r="AG417" s="48"/>
      <c r="AH417" s="48"/>
      <c r="AI417" s="48"/>
      <c r="AJ417" s="48"/>
      <c r="AK417" s="48"/>
      <c r="AL417" s="48"/>
      <c r="AM417" s="48"/>
      <c r="AN417" s="24"/>
      <c r="AO417" s="24"/>
      <c r="AP417" s="24"/>
      <c r="AQ417" s="24"/>
      <c r="AR417" s="24"/>
      <c r="AS417" s="24"/>
      <c r="AT417" s="24"/>
      <c r="AU417" s="24"/>
      <c r="AV417" s="24"/>
    </row>
    <row r="418" spans="2:48" ht="14.25" thickBot="1" thickTop="1">
      <c r="B418" s="208">
        <v>32</v>
      </c>
      <c r="C418" s="37"/>
      <c r="D418" s="33"/>
      <c r="E418" s="88"/>
      <c r="F418" s="86"/>
      <c r="G418" s="8" t="s">
        <v>13</v>
      </c>
      <c r="H418" s="41">
        <v>0</v>
      </c>
      <c r="I418" s="20">
        <v>0</v>
      </c>
      <c r="J418" s="41"/>
      <c r="K418" s="212"/>
      <c r="L418" s="212"/>
      <c r="M418" s="212"/>
      <c r="N418" s="210">
        <f t="shared" si="124"/>
        <v>0</v>
      </c>
      <c r="O418" s="10">
        <f t="shared" si="125"/>
        <v>658</v>
      </c>
      <c r="P418" s="101"/>
      <c r="Q418" s="24"/>
      <c r="R418" s="24"/>
      <c r="S418" s="24"/>
      <c r="T418" s="24"/>
      <c r="U418" s="24"/>
      <c r="V418" s="48">
        <v>658</v>
      </c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24"/>
      <c r="AO418" s="24"/>
      <c r="AP418" s="24"/>
      <c r="AQ418" s="24"/>
      <c r="AR418" s="24"/>
      <c r="AS418" s="24"/>
      <c r="AT418" s="24"/>
      <c r="AU418" s="24"/>
      <c r="AV418" s="24"/>
    </row>
    <row r="419" spans="2:51" ht="14.25" thickBot="1" thickTop="1">
      <c r="B419" s="208">
        <v>32</v>
      </c>
      <c r="C419" s="38"/>
      <c r="D419" s="35"/>
      <c r="E419" s="125"/>
      <c r="F419" s="189"/>
      <c r="G419" s="12" t="s">
        <v>14</v>
      </c>
      <c r="H419" s="43">
        <v>5409.5</v>
      </c>
      <c r="I419" s="21">
        <v>4096.64</v>
      </c>
      <c r="J419" s="43"/>
      <c r="K419" s="214"/>
      <c r="L419" s="214"/>
      <c r="M419" s="214"/>
      <c r="N419" s="210">
        <f t="shared" si="124"/>
        <v>204.83200000000002</v>
      </c>
      <c r="O419" s="10">
        <f t="shared" si="125"/>
        <v>2991.2</v>
      </c>
      <c r="P419" s="104"/>
      <c r="Q419" s="25"/>
      <c r="R419" s="25"/>
      <c r="S419" s="25"/>
      <c r="T419" s="25"/>
      <c r="U419" s="25"/>
      <c r="V419" s="49"/>
      <c r="W419" s="49"/>
      <c r="X419" s="49"/>
      <c r="Y419" s="49"/>
      <c r="Z419" s="49"/>
      <c r="AA419" s="49"/>
      <c r="AB419" s="49"/>
      <c r="AC419" s="49">
        <v>2734</v>
      </c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25"/>
      <c r="AO419" s="25"/>
      <c r="AP419" s="25"/>
      <c r="AQ419" s="25"/>
      <c r="AR419" s="25"/>
      <c r="AS419" s="25">
        <v>257.2</v>
      </c>
      <c r="AT419" s="25"/>
      <c r="AU419" s="25"/>
      <c r="AV419" s="128">
        <f>AV407+I407+J407-K407-L407-M407-N407-O407</f>
        <v>-1752.1719999999991</v>
      </c>
      <c r="AW419" s="54"/>
      <c r="AX419" s="6"/>
      <c r="AY419" s="6"/>
    </row>
    <row r="420" spans="2:48" ht="14.25" thickBot="1" thickTop="1">
      <c r="B420" s="155">
        <v>33</v>
      </c>
      <c r="C420" s="73" t="s">
        <v>143</v>
      </c>
      <c r="D420" s="67">
        <v>57</v>
      </c>
      <c r="E420" s="125"/>
      <c r="F420" s="207"/>
      <c r="G420" s="188"/>
      <c r="H420" s="69">
        <v>5407.13</v>
      </c>
      <c r="I420" s="69">
        <v>1507.21</v>
      </c>
      <c r="J420" s="69">
        <f>SUM(J421:J432)</f>
        <v>0</v>
      </c>
      <c r="K420" s="211">
        <f>SUM(K421:K432)</f>
        <v>0</v>
      </c>
      <c r="L420" s="211">
        <f>SUM(L421:L432)</f>
        <v>0</v>
      </c>
      <c r="M420" s="211">
        <f>SUM(M421:M432)</f>
        <v>0</v>
      </c>
      <c r="N420" s="215">
        <f>SUM(N421:N432)</f>
        <v>75.3605</v>
      </c>
      <c r="O420" s="16">
        <f>SUM(Q420:AU420)</f>
        <v>3025.63</v>
      </c>
      <c r="P420" s="99"/>
      <c r="Q420" s="11">
        <f>SUM(Q421:Q432)</f>
        <v>0</v>
      </c>
      <c r="R420" s="11">
        <f aca="true" t="shared" si="126" ref="R420:AL420">SUM(R421:R432)</f>
        <v>0</v>
      </c>
      <c r="S420" s="11">
        <f t="shared" si="126"/>
        <v>0</v>
      </c>
      <c r="T420" s="11">
        <f t="shared" si="126"/>
        <v>0</v>
      </c>
      <c r="U420" s="11">
        <f t="shared" si="126"/>
        <v>0</v>
      </c>
      <c r="V420" s="50">
        <f t="shared" si="126"/>
        <v>0</v>
      </c>
      <c r="W420" s="50">
        <f t="shared" si="126"/>
        <v>0</v>
      </c>
      <c r="X420" s="50">
        <f t="shared" si="126"/>
        <v>0</v>
      </c>
      <c r="Y420" s="50">
        <f t="shared" si="126"/>
        <v>0</v>
      </c>
      <c r="Z420" s="50">
        <f t="shared" si="126"/>
        <v>0</v>
      </c>
      <c r="AA420" s="50">
        <f t="shared" si="126"/>
        <v>0</v>
      </c>
      <c r="AB420" s="50">
        <f t="shared" si="126"/>
        <v>0</v>
      </c>
      <c r="AC420" s="50">
        <f t="shared" si="126"/>
        <v>1525</v>
      </c>
      <c r="AD420" s="50">
        <f t="shared" si="126"/>
        <v>0</v>
      </c>
      <c r="AE420" s="50">
        <f t="shared" si="126"/>
        <v>0</v>
      </c>
      <c r="AF420" s="50">
        <f t="shared" si="126"/>
        <v>0</v>
      </c>
      <c r="AG420" s="50">
        <f t="shared" si="126"/>
        <v>0</v>
      </c>
      <c r="AH420" s="50">
        <f t="shared" si="126"/>
        <v>0</v>
      </c>
      <c r="AI420" s="50">
        <f t="shared" si="126"/>
        <v>0</v>
      </c>
      <c r="AJ420" s="50">
        <f t="shared" si="126"/>
        <v>0</v>
      </c>
      <c r="AK420" s="50">
        <f t="shared" si="126"/>
        <v>0</v>
      </c>
      <c r="AL420" s="50">
        <f t="shared" si="126"/>
        <v>0</v>
      </c>
      <c r="AM420" s="50">
        <f aca="true" t="shared" si="127" ref="AM420:AU420">SUM(AM421:AM432)</f>
        <v>1243.54</v>
      </c>
      <c r="AN420" s="11">
        <f t="shared" si="127"/>
        <v>0</v>
      </c>
      <c r="AO420" s="11">
        <f t="shared" si="127"/>
        <v>0</v>
      </c>
      <c r="AP420" s="11">
        <f t="shared" si="127"/>
        <v>0</v>
      </c>
      <c r="AQ420" s="11">
        <f t="shared" si="127"/>
        <v>0</v>
      </c>
      <c r="AR420" s="11">
        <f>SUM(AR421:AR432)</f>
        <v>0</v>
      </c>
      <c r="AS420" s="11">
        <f t="shared" si="127"/>
        <v>257.09</v>
      </c>
      <c r="AT420" s="11">
        <f t="shared" si="127"/>
        <v>0</v>
      </c>
      <c r="AU420" s="11">
        <f t="shared" si="127"/>
        <v>0</v>
      </c>
      <c r="AV420" s="127">
        <v>0</v>
      </c>
    </row>
    <row r="421" spans="2:48" ht="14.25" thickBot="1" thickTop="1">
      <c r="B421" s="208">
        <v>33</v>
      </c>
      <c r="C421" s="36"/>
      <c r="D421" s="31"/>
      <c r="E421" s="124"/>
      <c r="F421" s="204"/>
      <c r="G421" s="61" t="s">
        <v>3</v>
      </c>
      <c r="H421" s="41"/>
      <c r="I421" s="19"/>
      <c r="J421" s="41"/>
      <c r="K421" s="212"/>
      <c r="L421" s="212"/>
      <c r="M421" s="212"/>
      <c r="N421" s="210">
        <f aca="true" t="shared" si="128" ref="N421:N432">I421*0.05</f>
        <v>0</v>
      </c>
      <c r="O421" s="10">
        <f>SUM(Q421:AU421)</f>
        <v>0</v>
      </c>
      <c r="P421" s="106"/>
      <c r="Q421" s="39"/>
      <c r="R421" s="23"/>
      <c r="S421" s="23"/>
      <c r="T421" s="23"/>
      <c r="U421" s="23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23"/>
      <c r="AO421" s="23"/>
      <c r="AP421" s="23"/>
      <c r="AQ421" s="23"/>
      <c r="AR421" s="23"/>
      <c r="AS421" s="23"/>
      <c r="AT421" s="23"/>
      <c r="AU421" s="23"/>
      <c r="AV421" s="23"/>
    </row>
    <row r="422" spans="2:48" ht="14.25" thickBot="1" thickTop="1">
      <c r="B422" s="208">
        <v>33</v>
      </c>
      <c r="C422" s="37"/>
      <c r="D422" s="33"/>
      <c r="E422" s="90"/>
      <c r="F422" s="86"/>
      <c r="G422" s="62" t="s">
        <v>4</v>
      </c>
      <c r="H422" s="41"/>
      <c r="I422" s="20"/>
      <c r="J422" s="41"/>
      <c r="K422" s="212"/>
      <c r="L422" s="212"/>
      <c r="M422" s="212"/>
      <c r="N422" s="210">
        <f t="shared" si="128"/>
        <v>0</v>
      </c>
      <c r="O422" s="10">
        <f>SUM(Q422:AU422)</f>
        <v>0</v>
      </c>
      <c r="P422" s="101"/>
      <c r="Q422" s="48"/>
      <c r="R422" s="24"/>
      <c r="S422" s="45"/>
      <c r="T422" s="24"/>
      <c r="U422" s="24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24"/>
      <c r="AO422" s="24"/>
      <c r="AP422" s="24"/>
      <c r="AQ422" s="24"/>
      <c r="AR422" s="24"/>
      <c r="AS422" s="24"/>
      <c r="AT422" s="23"/>
      <c r="AU422" s="24"/>
      <c r="AV422" s="24"/>
    </row>
    <row r="423" spans="2:48" ht="14.25" thickBot="1" thickTop="1">
      <c r="B423" s="208">
        <v>33</v>
      </c>
      <c r="C423" s="37"/>
      <c r="D423" s="33"/>
      <c r="E423" s="88"/>
      <c r="F423" s="86"/>
      <c r="G423" s="8" t="s">
        <v>5</v>
      </c>
      <c r="H423" s="41"/>
      <c r="I423" s="20"/>
      <c r="J423" s="41"/>
      <c r="K423" s="212"/>
      <c r="L423" s="212"/>
      <c r="M423" s="212"/>
      <c r="N423" s="210">
        <f t="shared" si="128"/>
        <v>0</v>
      </c>
      <c r="O423" s="10">
        <f aca="true" t="shared" si="129" ref="O423:O432">SUM(Q423:AU423)</f>
        <v>0</v>
      </c>
      <c r="P423" s="101"/>
      <c r="Q423" s="48"/>
      <c r="R423" s="24"/>
      <c r="S423" s="45"/>
      <c r="T423" s="24"/>
      <c r="U423" s="24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24"/>
      <c r="AO423" s="24"/>
      <c r="AP423" s="24"/>
      <c r="AQ423" s="24"/>
      <c r="AR423" s="24"/>
      <c r="AS423" s="24"/>
      <c r="AT423" s="23"/>
      <c r="AU423" s="23"/>
      <c r="AV423" s="24"/>
    </row>
    <row r="424" spans="2:48" ht="14.25" thickBot="1" thickTop="1">
      <c r="B424" s="208">
        <v>33</v>
      </c>
      <c r="C424" s="37"/>
      <c r="D424" s="33"/>
      <c r="E424" s="88"/>
      <c r="F424" s="86"/>
      <c r="G424" s="8" t="s">
        <v>6</v>
      </c>
      <c r="H424" s="41"/>
      <c r="I424" s="20"/>
      <c r="J424" s="41"/>
      <c r="K424" s="212"/>
      <c r="L424" s="212"/>
      <c r="M424" s="212"/>
      <c r="N424" s="210">
        <f t="shared" si="128"/>
        <v>0</v>
      </c>
      <c r="O424" s="10">
        <f t="shared" si="129"/>
        <v>0</v>
      </c>
      <c r="P424" s="103"/>
      <c r="Q424" s="48"/>
      <c r="R424" s="24"/>
      <c r="S424" s="24"/>
      <c r="T424" s="24"/>
      <c r="U424" s="24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24"/>
      <c r="AO424" s="24"/>
      <c r="AP424" s="24"/>
      <c r="AQ424" s="24"/>
      <c r="AR424" s="24"/>
      <c r="AS424" s="24"/>
      <c r="AT424" s="24"/>
      <c r="AU424" s="24"/>
      <c r="AV424" s="24"/>
    </row>
    <row r="425" spans="2:48" ht="14.25" thickBot="1" thickTop="1">
      <c r="B425" s="208">
        <v>33</v>
      </c>
      <c r="C425" s="37"/>
      <c r="D425" s="33"/>
      <c r="E425" s="88"/>
      <c r="F425" s="86"/>
      <c r="G425" s="8" t="s">
        <v>7</v>
      </c>
      <c r="H425" s="41"/>
      <c r="I425" s="20"/>
      <c r="J425" s="41"/>
      <c r="K425" s="212"/>
      <c r="L425" s="212"/>
      <c r="M425" s="212"/>
      <c r="N425" s="210">
        <f t="shared" si="128"/>
        <v>0</v>
      </c>
      <c r="O425" s="10">
        <f t="shared" si="129"/>
        <v>0</v>
      </c>
      <c r="P425" s="101"/>
      <c r="Q425" s="48"/>
      <c r="R425" s="24"/>
      <c r="S425" s="24"/>
      <c r="T425" s="24"/>
      <c r="U425" s="24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24"/>
      <c r="AO425" s="24"/>
      <c r="AP425" s="24"/>
      <c r="AQ425" s="24"/>
      <c r="AR425" s="24"/>
      <c r="AS425" s="24"/>
      <c r="AT425" s="23"/>
      <c r="AU425" s="24"/>
      <c r="AV425" s="24"/>
    </row>
    <row r="426" spans="2:48" ht="14.25" thickBot="1" thickTop="1">
      <c r="B426" s="208">
        <v>33</v>
      </c>
      <c r="C426" s="37"/>
      <c r="D426" s="33"/>
      <c r="E426" s="88"/>
      <c r="F426" s="86"/>
      <c r="G426" s="8" t="s">
        <v>8</v>
      </c>
      <c r="H426" s="41"/>
      <c r="I426" s="20"/>
      <c r="J426" s="41"/>
      <c r="K426" s="212"/>
      <c r="L426" s="212"/>
      <c r="M426" s="212"/>
      <c r="N426" s="210">
        <f t="shared" si="128"/>
        <v>0</v>
      </c>
      <c r="O426" s="10">
        <f t="shared" si="129"/>
        <v>0</v>
      </c>
      <c r="P426" s="101"/>
      <c r="Q426" s="48"/>
      <c r="R426" s="24"/>
      <c r="S426" s="24"/>
      <c r="T426" s="24"/>
      <c r="U426" s="24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24"/>
      <c r="AO426" s="24"/>
      <c r="AP426" s="24"/>
      <c r="AQ426" s="24"/>
      <c r="AR426" s="24"/>
      <c r="AS426" s="24"/>
      <c r="AT426" s="24"/>
      <c r="AU426" s="24"/>
      <c r="AV426" s="24"/>
    </row>
    <row r="427" spans="2:48" ht="14.25" thickBot="1" thickTop="1">
      <c r="B427" s="208">
        <v>33</v>
      </c>
      <c r="C427" s="37"/>
      <c r="D427" s="33"/>
      <c r="E427" s="88"/>
      <c r="F427" s="86"/>
      <c r="G427" s="8" t="s">
        <v>9</v>
      </c>
      <c r="H427" s="41"/>
      <c r="I427" s="20"/>
      <c r="J427" s="41"/>
      <c r="K427" s="212"/>
      <c r="L427" s="212"/>
      <c r="M427" s="212"/>
      <c r="N427" s="210">
        <f t="shared" si="128"/>
        <v>0</v>
      </c>
      <c r="O427" s="10">
        <f t="shared" si="129"/>
        <v>0</v>
      </c>
      <c r="P427" s="101"/>
      <c r="Q427" s="48"/>
      <c r="R427" s="24"/>
      <c r="S427" s="24"/>
      <c r="T427" s="24"/>
      <c r="U427" s="24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24"/>
      <c r="AO427" s="24"/>
      <c r="AP427" s="24"/>
      <c r="AQ427" s="24"/>
      <c r="AR427" s="24"/>
      <c r="AS427" s="24"/>
      <c r="AT427" s="24"/>
      <c r="AU427" s="24"/>
      <c r="AV427" s="24"/>
    </row>
    <row r="428" spans="2:48" ht="14.25" thickBot="1" thickTop="1">
      <c r="B428" s="208">
        <v>33</v>
      </c>
      <c r="C428" s="37"/>
      <c r="D428" s="33"/>
      <c r="E428" s="88"/>
      <c r="F428" s="86"/>
      <c r="G428" s="8" t="s">
        <v>10</v>
      </c>
      <c r="H428" s="41"/>
      <c r="I428" s="20"/>
      <c r="J428" s="41"/>
      <c r="K428" s="212"/>
      <c r="L428" s="212"/>
      <c r="M428" s="212"/>
      <c r="N428" s="210">
        <f t="shared" si="128"/>
        <v>0</v>
      </c>
      <c r="O428" s="10">
        <f t="shared" si="129"/>
        <v>0</v>
      </c>
      <c r="P428" s="101"/>
      <c r="Q428" s="48"/>
      <c r="R428" s="24"/>
      <c r="S428" s="24"/>
      <c r="T428" s="24"/>
      <c r="U428" s="24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24"/>
      <c r="AO428" s="24"/>
      <c r="AP428" s="24"/>
      <c r="AQ428" s="24"/>
      <c r="AR428" s="24"/>
      <c r="AS428" s="24"/>
      <c r="AT428" s="24"/>
      <c r="AU428" s="24"/>
      <c r="AV428" s="24"/>
    </row>
    <row r="429" spans="2:48" ht="14.25" thickBot="1" thickTop="1">
      <c r="B429" s="208">
        <v>33</v>
      </c>
      <c r="C429" s="37"/>
      <c r="D429" s="33"/>
      <c r="E429" s="88"/>
      <c r="F429" s="86"/>
      <c r="G429" s="8" t="s">
        <v>11</v>
      </c>
      <c r="H429" s="41"/>
      <c r="I429" s="20"/>
      <c r="J429" s="41"/>
      <c r="K429" s="212"/>
      <c r="L429" s="212"/>
      <c r="M429" s="212"/>
      <c r="N429" s="210">
        <f t="shared" si="128"/>
        <v>0</v>
      </c>
      <c r="O429" s="10">
        <f t="shared" si="129"/>
        <v>0</v>
      </c>
      <c r="P429" s="101"/>
      <c r="Q429" s="24"/>
      <c r="R429" s="24"/>
      <c r="S429" s="24"/>
      <c r="T429" s="24"/>
      <c r="U429" s="24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24"/>
      <c r="AO429" s="24"/>
      <c r="AP429" s="24"/>
      <c r="AQ429" s="24"/>
      <c r="AR429" s="24"/>
      <c r="AS429" s="24"/>
      <c r="AT429" s="24"/>
      <c r="AU429" s="24"/>
      <c r="AV429" s="24"/>
    </row>
    <row r="430" spans="2:48" ht="14.25" thickBot="1" thickTop="1">
      <c r="B430" s="208">
        <v>33</v>
      </c>
      <c r="C430" s="37"/>
      <c r="D430" s="33"/>
      <c r="E430" s="88"/>
      <c r="F430" s="86"/>
      <c r="G430" s="8" t="s">
        <v>12</v>
      </c>
      <c r="H430" s="41"/>
      <c r="I430" s="20"/>
      <c r="J430" s="41"/>
      <c r="K430" s="212"/>
      <c r="L430" s="212"/>
      <c r="M430" s="212"/>
      <c r="N430" s="210">
        <f t="shared" si="128"/>
        <v>0</v>
      </c>
      <c r="O430" s="10">
        <f t="shared" si="129"/>
        <v>0</v>
      </c>
      <c r="P430" s="101"/>
      <c r="Q430" s="24"/>
      <c r="R430" s="24"/>
      <c r="S430" s="24"/>
      <c r="T430" s="24"/>
      <c r="U430" s="24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24"/>
      <c r="AO430" s="24"/>
      <c r="AP430" s="24"/>
      <c r="AQ430" s="24"/>
      <c r="AR430" s="24"/>
      <c r="AS430" s="24"/>
      <c r="AT430" s="24"/>
      <c r="AU430" s="24"/>
      <c r="AV430" s="24"/>
    </row>
    <row r="431" spans="2:48" ht="14.25" thickBot="1" thickTop="1">
      <c r="B431" s="208">
        <v>33</v>
      </c>
      <c r="C431" s="37"/>
      <c r="D431" s="33"/>
      <c r="E431" s="88"/>
      <c r="F431" s="86"/>
      <c r="G431" s="8" t="s">
        <v>13</v>
      </c>
      <c r="H431" s="41"/>
      <c r="I431" s="20"/>
      <c r="J431" s="41"/>
      <c r="K431" s="212"/>
      <c r="L431" s="212"/>
      <c r="M431" s="212"/>
      <c r="N431" s="210">
        <f t="shared" si="128"/>
        <v>0</v>
      </c>
      <c r="O431" s="10">
        <f t="shared" si="129"/>
        <v>0</v>
      </c>
      <c r="P431" s="101"/>
      <c r="Q431" s="24"/>
      <c r="R431" s="24"/>
      <c r="S431" s="24"/>
      <c r="T431" s="24"/>
      <c r="U431" s="24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24"/>
      <c r="AO431" s="24"/>
      <c r="AP431" s="24"/>
      <c r="AQ431" s="24"/>
      <c r="AR431" s="24"/>
      <c r="AS431" s="24"/>
      <c r="AT431" s="24"/>
      <c r="AU431" s="24"/>
      <c r="AV431" s="24"/>
    </row>
    <row r="432" spans="2:51" ht="14.25" thickBot="1" thickTop="1">
      <c r="B432" s="208">
        <v>33</v>
      </c>
      <c r="C432" s="38"/>
      <c r="D432" s="35"/>
      <c r="E432" s="125"/>
      <c r="F432" s="189"/>
      <c r="G432" s="12" t="s">
        <v>14</v>
      </c>
      <c r="H432" s="43">
        <v>5407.13</v>
      </c>
      <c r="I432" s="21">
        <v>1507.21</v>
      </c>
      <c r="J432" s="43"/>
      <c r="K432" s="214"/>
      <c r="L432" s="214"/>
      <c r="M432" s="214"/>
      <c r="N432" s="210">
        <f t="shared" si="128"/>
        <v>75.3605</v>
      </c>
      <c r="O432" s="10">
        <f t="shared" si="129"/>
        <v>3025.63</v>
      </c>
      <c r="P432" s="104"/>
      <c r="Q432" s="25"/>
      <c r="R432" s="25"/>
      <c r="S432" s="25"/>
      <c r="T432" s="25"/>
      <c r="U432" s="25"/>
      <c r="V432" s="49"/>
      <c r="W432" s="49"/>
      <c r="X432" s="49"/>
      <c r="Y432" s="49"/>
      <c r="Z432" s="49"/>
      <c r="AA432" s="49"/>
      <c r="AB432" s="49"/>
      <c r="AC432" s="49">
        <v>1525</v>
      </c>
      <c r="AD432" s="49"/>
      <c r="AE432" s="49"/>
      <c r="AF432" s="49"/>
      <c r="AG432" s="49"/>
      <c r="AH432" s="49"/>
      <c r="AI432" s="49"/>
      <c r="AJ432" s="49"/>
      <c r="AK432" s="49"/>
      <c r="AL432" s="49"/>
      <c r="AM432" s="49">
        <v>1243.54</v>
      </c>
      <c r="AN432" s="25"/>
      <c r="AO432" s="25"/>
      <c r="AP432" s="25"/>
      <c r="AQ432" s="25"/>
      <c r="AR432" s="25"/>
      <c r="AS432" s="25">
        <v>257.09</v>
      </c>
      <c r="AT432" s="25"/>
      <c r="AU432" s="25"/>
      <c r="AV432" s="128">
        <f>AV420+I420+J420-K420-L420-M420-N420-O420</f>
        <v>-1593.7805</v>
      </c>
      <c r="AW432" s="54"/>
      <c r="AX432" s="6"/>
      <c r="AY432" s="6"/>
    </row>
    <row r="433" spans="2:48" ht="14.25" thickBot="1" thickTop="1">
      <c r="B433" s="155">
        <v>33</v>
      </c>
      <c r="C433" s="73" t="s">
        <v>143</v>
      </c>
      <c r="D433" s="67">
        <v>59</v>
      </c>
      <c r="E433" s="125"/>
      <c r="F433" s="207"/>
      <c r="G433" s="188"/>
      <c r="H433" s="69">
        <v>5235.95</v>
      </c>
      <c r="I433" s="69">
        <v>1424.34</v>
      </c>
      <c r="J433" s="69">
        <f>SUM(J434:J445)</f>
        <v>0</v>
      </c>
      <c r="K433" s="211">
        <f>SUM(K434:K445)</f>
        <v>0</v>
      </c>
      <c r="L433" s="211">
        <f>SUM(L434:L445)</f>
        <v>0</v>
      </c>
      <c r="M433" s="211">
        <f>SUM(M434:M445)</f>
        <v>0</v>
      </c>
      <c r="N433" s="215">
        <f>SUM(N434:N445)</f>
        <v>71.217</v>
      </c>
      <c r="O433" s="16">
        <f>SUM(Q433:AU433)</f>
        <v>3017.49</v>
      </c>
      <c r="P433" s="99"/>
      <c r="Q433" s="11">
        <f>SUM(Q434:Q445)</f>
        <v>0</v>
      </c>
      <c r="R433" s="11">
        <f aca="true" t="shared" si="130" ref="R433:AL433">SUM(R434:R445)</f>
        <v>0</v>
      </c>
      <c r="S433" s="11">
        <f t="shared" si="130"/>
        <v>0</v>
      </c>
      <c r="T433" s="11">
        <f t="shared" si="130"/>
        <v>0</v>
      </c>
      <c r="U433" s="11">
        <f t="shared" si="130"/>
        <v>0</v>
      </c>
      <c r="V433" s="50">
        <f t="shared" si="130"/>
        <v>0</v>
      </c>
      <c r="W433" s="50">
        <f t="shared" si="130"/>
        <v>0</v>
      </c>
      <c r="X433" s="50">
        <f t="shared" si="130"/>
        <v>0</v>
      </c>
      <c r="Y433" s="50">
        <f t="shared" si="130"/>
        <v>0</v>
      </c>
      <c r="Z433" s="50">
        <f t="shared" si="130"/>
        <v>0</v>
      </c>
      <c r="AA433" s="50">
        <f t="shared" si="130"/>
        <v>0</v>
      </c>
      <c r="AB433" s="50">
        <f t="shared" si="130"/>
        <v>0</v>
      </c>
      <c r="AC433" s="50">
        <f t="shared" si="130"/>
        <v>1525</v>
      </c>
      <c r="AD433" s="50">
        <f t="shared" si="130"/>
        <v>0</v>
      </c>
      <c r="AE433" s="50">
        <f t="shared" si="130"/>
        <v>0</v>
      </c>
      <c r="AF433" s="50">
        <f t="shared" si="130"/>
        <v>0</v>
      </c>
      <c r="AG433" s="50">
        <f t="shared" si="130"/>
        <v>0</v>
      </c>
      <c r="AH433" s="50">
        <f t="shared" si="130"/>
        <v>0</v>
      </c>
      <c r="AI433" s="50">
        <f t="shared" si="130"/>
        <v>0</v>
      </c>
      <c r="AJ433" s="50">
        <f t="shared" si="130"/>
        <v>0</v>
      </c>
      <c r="AK433" s="50">
        <f t="shared" si="130"/>
        <v>0</v>
      </c>
      <c r="AL433" s="50">
        <f t="shared" si="130"/>
        <v>0</v>
      </c>
      <c r="AM433" s="50">
        <f aca="true" t="shared" si="131" ref="AM433:AU433">SUM(AM434:AM445)</f>
        <v>1243.54</v>
      </c>
      <c r="AN433" s="11">
        <f t="shared" si="131"/>
        <v>0</v>
      </c>
      <c r="AO433" s="11">
        <f t="shared" si="131"/>
        <v>0</v>
      </c>
      <c r="AP433" s="11">
        <f t="shared" si="131"/>
        <v>0</v>
      </c>
      <c r="AQ433" s="11">
        <f t="shared" si="131"/>
        <v>0</v>
      </c>
      <c r="AR433" s="11">
        <f>SUM(AR434:AR445)</f>
        <v>0</v>
      </c>
      <c r="AS433" s="11">
        <f t="shared" si="131"/>
        <v>248.95</v>
      </c>
      <c r="AT433" s="11">
        <f t="shared" si="131"/>
        <v>0</v>
      </c>
      <c r="AU433" s="11">
        <f t="shared" si="131"/>
        <v>0</v>
      </c>
      <c r="AV433" s="127">
        <v>0</v>
      </c>
    </row>
    <row r="434" spans="2:48" ht="14.25" thickBot="1" thickTop="1">
      <c r="B434" s="208">
        <v>33</v>
      </c>
      <c r="C434" s="36"/>
      <c r="D434" s="31"/>
      <c r="E434" s="124"/>
      <c r="F434" s="204"/>
      <c r="G434" s="61" t="s">
        <v>3</v>
      </c>
      <c r="H434" s="41"/>
      <c r="I434" s="19"/>
      <c r="J434" s="41"/>
      <c r="K434" s="212"/>
      <c r="L434" s="212"/>
      <c r="M434" s="212"/>
      <c r="N434" s="210">
        <f aca="true" t="shared" si="132" ref="N434:N445">I434*0.05</f>
        <v>0</v>
      </c>
      <c r="O434" s="10">
        <f>SUM(Q434:AU434)</f>
        <v>0</v>
      </c>
      <c r="P434" s="106"/>
      <c r="Q434" s="39"/>
      <c r="R434" s="23"/>
      <c r="S434" s="23"/>
      <c r="T434" s="23"/>
      <c r="U434" s="23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23"/>
      <c r="AO434" s="23"/>
      <c r="AP434" s="23"/>
      <c r="AQ434" s="23"/>
      <c r="AR434" s="23"/>
      <c r="AS434" s="23"/>
      <c r="AT434" s="23"/>
      <c r="AU434" s="23"/>
      <c r="AV434" s="23"/>
    </row>
    <row r="435" spans="2:48" ht="14.25" thickBot="1" thickTop="1">
      <c r="B435" s="208">
        <v>33</v>
      </c>
      <c r="C435" s="37"/>
      <c r="D435" s="33"/>
      <c r="E435" s="90"/>
      <c r="F435" s="86"/>
      <c r="G435" s="62" t="s">
        <v>4</v>
      </c>
      <c r="H435" s="41"/>
      <c r="I435" s="20"/>
      <c r="J435" s="41"/>
      <c r="K435" s="212"/>
      <c r="L435" s="212"/>
      <c r="M435" s="212"/>
      <c r="N435" s="210">
        <f t="shared" si="132"/>
        <v>0</v>
      </c>
      <c r="O435" s="10">
        <f>SUM(Q435:AU435)</f>
        <v>0</v>
      </c>
      <c r="P435" s="101"/>
      <c r="Q435" s="48"/>
      <c r="R435" s="24"/>
      <c r="S435" s="45"/>
      <c r="T435" s="24"/>
      <c r="U435" s="24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24"/>
      <c r="AO435" s="24"/>
      <c r="AP435" s="24"/>
      <c r="AQ435" s="24"/>
      <c r="AR435" s="24"/>
      <c r="AS435" s="24"/>
      <c r="AT435" s="23"/>
      <c r="AU435" s="24"/>
      <c r="AV435" s="24"/>
    </row>
    <row r="436" spans="2:48" ht="14.25" thickBot="1" thickTop="1">
      <c r="B436" s="208">
        <v>33</v>
      </c>
      <c r="C436" s="37"/>
      <c r="D436" s="33"/>
      <c r="E436" s="88"/>
      <c r="F436" s="86"/>
      <c r="G436" s="8" t="s">
        <v>5</v>
      </c>
      <c r="H436" s="41"/>
      <c r="I436" s="20"/>
      <c r="J436" s="41"/>
      <c r="K436" s="212"/>
      <c r="L436" s="212"/>
      <c r="M436" s="212"/>
      <c r="N436" s="210">
        <f t="shared" si="132"/>
        <v>0</v>
      </c>
      <c r="O436" s="10">
        <f aca="true" t="shared" si="133" ref="O436:O445">SUM(Q436:AU436)</f>
        <v>0</v>
      </c>
      <c r="P436" s="101"/>
      <c r="Q436" s="48"/>
      <c r="R436" s="24"/>
      <c r="S436" s="45"/>
      <c r="T436" s="24"/>
      <c r="U436" s="24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24"/>
      <c r="AO436" s="24"/>
      <c r="AP436" s="24"/>
      <c r="AQ436" s="24"/>
      <c r="AR436" s="24"/>
      <c r="AS436" s="24"/>
      <c r="AT436" s="23"/>
      <c r="AU436" s="23"/>
      <c r="AV436" s="24"/>
    </row>
    <row r="437" spans="2:49" ht="14.25" thickBot="1" thickTop="1">
      <c r="B437" s="208">
        <v>33</v>
      </c>
      <c r="C437" s="37"/>
      <c r="D437" s="33"/>
      <c r="E437" s="88"/>
      <c r="F437" s="86"/>
      <c r="G437" s="8" t="s">
        <v>6</v>
      </c>
      <c r="H437" s="41"/>
      <c r="I437" s="20"/>
      <c r="J437" s="41"/>
      <c r="K437" s="212"/>
      <c r="L437" s="212"/>
      <c r="M437" s="212"/>
      <c r="N437" s="210">
        <f t="shared" si="132"/>
        <v>0</v>
      </c>
      <c r="O437" s="10">
        <f t="shared" si="133"/>
        <v>0</v>
      </c>
      <c r="P437" s="103"/>
      <c r="Q437" s="48"/>
      <c r="R437" s="24"/>
      <c r="S437" s="24"/>
      <c r="T437" s="24"/>
      <c r="U437" s="24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24"/>
      <c r="AO437" s="24"/>
      <c r="AP437" s="24"/>
      <c r="AQ437" s="24"/>
      <c r="AR437" s="24"/>
      <c r="AS437" s="24"/>
      <c r="AT437" s="24"/>
      <c r="AU437" s="24"/>
      <c r="AV437" s="24"/>
      <c r="AW437" s="219"/>
    </row>
    <row r="438" spans="2:50" ht="14.25" thickBot="1" thickTop="1">
      <c r="B438" s="208">
        <v>33</v>
      </c>
      <c r="C438" s="37"/>
      <c r="D438" s="33"/>
      <c r="E438" s="88"/>
      <c r="F438" s="86"/>
      <c r="G438" s="8" t="s">
        <v>7</v>
      </c>
      <c r="H438" s="41"/>
      <c r="I438" s="20"/>
      <c r="J438" s="41"/>
      <c r="K438" s="212"/>
      <c r="L438" s="212"/>
      <c r="M438" s="212"/>
      <c r="N438" s="210">
        <f t="shared" si="132"/>
        <v>0</v>
      </c>
      <c r="O438" s="10">
        <f t="shared" si="133"/>
        <v>0</v>
      </c>
      <c r="P438" s="101"/>
      <c r="Q438" s="48"/>
      <c r="R438" s="24"/>
      <c r="S438" s="24"/>
      <c r="T438" s="24"/>
      <c r="U438" s="24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24"/>
      <c r="AO438" s="24"/>
      <c r="AP438" s="24"/>
      <c r="AQ438" s="24"/>
      <c r="AR438" s="24"/>
      <c r="AS438" s="24"/>
      <c r="AT438" s="23"/>
      <c r="AU438" s="24"/>
      <c r="AV438" s="24"/>
      <c r="AW438" s="220">
        <f>AV4+AV17+AV30+AV43+AV56+AV69+AV82+AV95+AV108+AV121+AV134+AV147+AV160+AV173+AV186+AV199+AV212+AV225+AV238+AV251+AV264+AV277+AV290+AV303+AV316+AV329+AV342+AV355+AV368+AV381+AV394+AV407+AV420+AV433</f>
        <v>-247456.04000000007</v>
      </c>
      <c r="AX438" s="1" t="s">
        <v>355</v>
      </c>
    </row>
    <row r="439" spans="2:50" ht="14.25" thickBot="1" thickTop="1">
      <c r="B439" s="208">
        <v>33</v>
      </c>
      <c r="C439" s="37"/>
      <c r="D439" s="33"/>
      <c r="E439" s="88"/>
      <c r="F439" s="86"/>
      <c r="G439" s="8" t="s">
        <v>8</v>
      </c>
      <c r="H439" s="41"/>
      <c r="I439" s="20"/>
      <c r="J439" s="41"/>
      <c r="K439" s="212"/>
      <c r="L439" s="212"/>
      <c r="M439" s="212"/>
      <c r="N439" s="210">
        <f t="shared" si="132"/>
        <v>0</v>
      </c>
      <c r="O439" s="10">
        <f t="shared" si="133"/>
        <v>0</v>
      </c>
      <c r="P439" s="101"/>
      <c r="Q439" s="48"/>
      <c r="R439" s="24"/>
      <c r="S439" s="24"/>
      <c r="T439" s="24"/>
      <c r="U439" s="24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24"/>
      <c r="AO439" s="24"/>
      <c r="AP439" s="24"/>
      <c r="AQ439" s="24"/>
      <c r="AR439" s="24"/>
      <c r="AS439" s="24"/>
      <c r="AT439" s="24"/>
      <c r="AU439" s="24"/>
      <c r="AV439" s="24"/>
      <c r="AW439" s="220">
        <f>I446</f>
        <v>4913914.919999997</v>
      </c>
      <c r="AX439" s="1" t="s">
        <v>391</v>
      </c>
    </row>
    <row r="440" spans="2:49" ht="14.25" thickBot="1" thickTop="1">
      <c r="B440" s="208">
        <v>33</v>
      </c>
      <c r="C440" s="37"/>
      <c r="D440" s="33"/>
      <c r="E440" s="88"/>
      <c r="F440" s="86"/>
      <c r="G440" s="8" t="s">
        <v>9</v>
      </c>
      <c r="H440" s="41"/>
      <c r="I440" s="20"/>
      <c r="J440" s="41"/>
      <c r="K440" s="212"/>
      <c r="L440" s="212"/>
      <c r="M440" s="212"/>
      <c r="N440" s="210">
        <f t="shared" si="132"/>
        <v>0</v>
      </c>
      <c r="O440" s="10">
        <f t="shared" si="133"/>
        <v>0</v>
      </c>
      <c r="P440" s="101"/>
      <c r="Q440" s="48"/>
      <c r="R440" s="24"/>
      <c r="S440" s="24"/>
      <c r="T440" s="24"/>
      <c r="U440" s="24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24"/>
      <c r="AO440" s="24"/>
      <c r="AP440" s="24"/>
      <c r="AQ440" s="24"/>
      <c r="AR440" s="24"/>
      <c r="AS440" s="24"/>
      <c r="AT440" s="24"/>
      <c r="AU440" s="24"/>
      <c r="AV440" s="24"/>
      <c r="AW440" s="219"/>
    </row>
    <row r="441" spans="2:50" ht="14.25" thickBot="1" thickTop="1">
      <c r="B441" s="208">
        <v>33</v>
      </c>
      <c r="C441" s="37"/>
      <c r="D441" s="33"/>
      <c r="E441" s="88"/>
      <c r="F441" s="86"/>
      <c r="G441" s="8" t="s">
        <v>10</v>
      </c>
      <c r="H441" s="41"/>
      <c r="I441" s="20"/>
      <c r="J441" s="41"/>
      <c r="K441" s="212"/>
      <c r="L441" s="212"/>
      <c r="M441" s="212"/>
      <c r="N441" s="210">
        <f t="shared" si="132"/>
        <v>0</v>
      </c>
      <c r="O441" s="10">
        <f t="shared" si="133"/>
        <v>0</v>
      </c>
      <c r="P441" s="101"/>
      <c r="Q441" s="48"/>
      <c r="R441" s="24"/>
      <c r="S441" s="24"/>
      <c r="T441" s="24"/>
      <c r="U441" s="24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24"/>
      <c r="AO441" s="24"/>
      <c r="AP441" s="24"/>
      <c r="AQ441" s="24"/>
      <c r="AR441" s="24"/>
      <c r="AS441" s="24"/>
      <c r="AT441" s="24"/>
      <c r="AU441" s="24"/>
      <c r="AV441" s="24"/>
      <c r="AW441" s="220">
        <f>O446</f>
        <v>3601004.4819999994</v>
      </c>
      <c r="AX441" s="1" t="s">
        <v>392</v>
      </c>
    </row>
    <row r="442" spans="2:50" ht="14.25" thickBot="1" thickTop="1">
      <c r="B442" s="208">
        <v>33</v>
      </c>
      <c r="C442" s="37"/>
      <c r="D442" s="33"/>
      <c r="E442" s="88"/>
      <c r="F442" s="86"/>
      <c r="G442" s="8" t="s">
        <v>11</v>
      </c>
      <c r="H442" s="41"/>
      <c r="I442" s="20"/>
      <c r="J442" s="41"/>
      <c r="K442" s="212"/>
      <c r="L442" s="212"/>
      <c r="M442" s="212"/>
      <c r="N442" s="210">
        <f t="shared" si="132"/>
        <v>0</v>
      </c>
      <c r="O442" s="10">
        <f t="shared" si="133"/>
        <v>0</v>
      </c>
      <c r="P442" s="101"/>
      <c r="Q442" s="24"/>
      <c r="R442" s="24"/>
      <c r="S442" s="24"/>
      <c r="T442" s="24"/>
      <c r="U442" s="24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24"/>
      <c r="AO442" s="24"/>
      <c r="AP442" s="24"/>
      <c r="AQ442" s="24"/>
      <c r="AR442" s="24"/>
      <c r="AS442" s="24"/>
      <c r="AT442" s="24"/>
      <c r="AU442" s="24"/>
      <c r="AV442" s="24"/>
      <c r="AW442" s="220">
        <f>K446+L446+M446+N446</f>
        <v>790937.9460000001</v>
      </c>
      <c r="AX442" s="1" t="s">
        <v>393</v>
      </c>
    </row>
    <row r="443" spans="2:50" ht="14.25" thickBot="1" thickTop="1">
      <c r="B443" s="208">
        <v>33</v>
      </c>
      <c r="C443" s="37"/>
      <c r="D443" s="33"/>
      <c r="E443" s="88"/>
      <c r="F443" s="86"/>
      <c r="G443" s="8" t="s">
        <v>12</v>
      </c>
      <c r="H443" s="41"/>
      <c r="I443" s="20"/>
      <c r="J443" s="41"/>
      <c r="K443" s="212"/>
      <c r="L443" s="212"/>
      <c r="M443" s="212"/>
      <c r="N443" s="210">
        <f t="shared" si="132"/>
        <v>0</v>
      </c>
      <c r="O443" s="10">
        <f t="shared" si="133"/>
        <v>0</v>
      </c>
      <c r="P443" s="101"/>
      <c r="Q443" s="24"/>
      <c r="R443" s="24"/>
      <c r="S443" s="24"/>
      <c r="T443" s="24"/>
      <c r="U443" s="24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24"/>
      <c r="AO443" s="24"/>
      <c r="AP443" s="24"/>
      <c r="AQ443" s="24"/>
      <c r="AR443" s="24"/>
      <c r="AS443" s="24"/>
      <c r="AT443" s="24"/>
      <c r="AU443" s="24"/>
      <c r="AV443" s="24"/>
      <c r="AW443" s="220">
        <f>AW438+AW439-AW441-AW442</f>
        <v>274516.4519999976</v>
      </c>
      <c r="AX443" s="1" t="s">
        <v>394</v>
      </c>
    </row>
    <row r="444" spans="2:50" ht="14.25" thickBot="1" thickTop="1">
      <c r="B444" s="208">
        <v>33</v>
      </c>
      <c r="C444" s="37"/>
      <c r="D444" s="33"/>
      <c r="E444" s="88"/>
      <c r="F444" s="86"/>
      <c r="G444" s="8" t="s">
        <v>13</v>
      </c>
      <c r="H444" s="41"/>
      <c r="I444" s="20"/>
      <c r="J444" s="41"/>
      <c r="K444" s="212"/>
      <c r="L444" s="212"/>
      <c r="M444" s="212"/>
      <c r="N444" s="210">
        <f t="shared" si="132"/>
        <v>0</v>
      </c>
      <c r="O444" s="10">
        <f t="shared" si="133"/>
        <v>0</v>
      </c>
      <c r="P444" s="101"/>
      <c r="Q444" s="24"/>
      <c r="R444" s="24"/>
      <c r="S444" s="24"/>
      <c r="T444" s="24"/>
      <c r="U444" s="24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24"/>
      <c r="AO444" s="24"/>
      <c r="AP444" s="24"/>
      <c r="AQ444" s="24"/>
      <c r="AR444" s="24"/>
      <c r="AS444" s="24"/>
      <c r="AT444" s="24"/>
      <c r="AU444" s="24"/>
      <c r="AV444" s="24"/>
      <c r="AW444" s="220">
        <f>AV446-AW443</f>
        <v>2.2118911147117615E-09</v>
      </c>
      <c r="AX444" s="1" t="s">
        <v>395</v>
      </c>
    </row>
    <row r="445" spans="2:51" ht="14.25" thickBot="1" thickTop="1">
      <c r="B445" s="208">
        <v>33</v>
      </c>
      <c r="C445" s="38"/>
      <c r="D445" s="35"/>
      <c r="E445" s="125"/>
      <c r="F445" s="189"/>
      <c r="G445" s="12" t="s">
        <v>14</v>
      </c>
      <c r="H445" s="43">
        <v>5235.95</v>
      </c>
      <c r="I445" s="21">
        <v>1424.34</v>
      </c>
      <c r="J445" s="43"/>
      <c r="K445" s="214"/>
      <c r="L445" s="214"/>
      <c r="M445" s="214"/>
      <c r="N445" s="210">
        <f t="shared" si="132"/>
        <v>71.217</v>
      </c>
      <c r="O445" s="10">
        <f t="shared" si="133"/>
        <v>3017.49</v>
      </c>
      <c r="P445" s="104"/>
      <c r="Q445" s="25"/>
      <c r="R445" s="25"/>
      <c r="S445" s="25"/>
      <c r="T445" s="25"/>
      <c r="U445" s="25"/>
      <c r="V445" s="49"/>
      <c r="W445" s="49"/>
      <c r="X445" s="49"/>
      <c r="Y445" s="49"/>
      <c r="Z445" s="49"/>
      <c r="AA445" s="49"/>
      <c r="AB445" s="49"/>
      <c r="AC445" s="49">
        <v>1525</v>
      </c>
      <c r="AD445" s="49"/>
      <c r="AE445" s="49"/>
      <c r="AF445" s="49"/>
      <c r="AG445" s="49"/>
      <c r="AH445" s="49"/>
      <c r="AI445" s="49"/>
      <c r="AJ445" s="49"/>
      <c r="AK445" s="49"/>
      <c r="AL445" s="49"/>
      <c r="AM445" s="49">
        <v>1243.54</v>
      </c>
      <c r="AN445" s="25"/>
      <c r="AO445" s="25"/>
      <c r="AP445" s="25"/>
      <c r="AQ445" s="25"/>
      <c r="AR445" s="25"/>
      <c r="AS445" s="25">
        <v>248.95</v>
      </c>
      <c r="AT445" s="25"/>
      <c r="AU445" s="25"/>
      <c r="AV445" s="128">
        <f>AV433+I433+J433-K433-L433-M433-N433-O433</f>
        <v>-1664.367</v>
      </c>
      <c r="AW445" s="220"/>
      <c r="AX445" s="6"/>
      <c r="AY445" s="6"/>
    </row>
    <row r="446" spans="2:49" ht="21" customHeight="1" thickBot="1" thickTop="1">
      <c r="B446" s="243" t="s">
        <v>20</v>
      </c>
      <c r="C446" s="244"/>
      <c r="D446" s="244"/>
      <c r="E446" s="245"/>
      <c r="F446" s="156">
        <f>SUM(F4:F419)</f>
        <v>77596.13</v>
      </c>
      <c r="G446" s="156"/>
      <c r="H446" s="156">
        <v>5175447.980000001</v>
      </c>
      <c r="I446" s="156">
        <v>4913914.919999997</v>
      </c>
      <c r="J446" s="156">
        <f>J4+J17+J30+J43+J56+J69+J82+J95+J108+J121+J134+J147+J160+J173+J186+J199+J212+J225+J238+J251+J264+J277+J290+J303+J316+J329+J342+J355+J368+J381+J394+J407</f>
        <v>0</v>
      </c>
      <c r="K446" s="156">
        <f>K4+K17+K30+K43+K56+K69+K82+K95+K108+K121+K134+K147+K160+K173+K186+K199+K212+K225+K238+K251+K264+K277+K290+K303+K316+K329+K342+K355+K368+K381+K394+K407</f>
        <v>171767.99000000002</v>
      </c>
      <c r="L446" s="156">
        <f>L4+L17+L30+L43+L56+L69+L82+L95+L108+L121+L134+L147+L160+L173+L186+L199+L212+L225+L238+L251+L264+L277+L290+L303+L316+L329+L342+L355+L368+L381+L394+L407</f>
        <v>188512.05999999997</v>
      </c>
      <c r="M446" s="156">
        <f>M4+M17+M30+M43+M56+M69+M82+M95+M108+M121+M134+M147+M160+M173+M186+M199+M212+M225+M238+M251+M264+M277+M290+M303+M316+M329+M342+M355+M368+M381+M394+M407+M433+M420</f>
        <v>184962.15000000005</v>
      </c>
      <c r="N446" s="156">
        <f>N4+N17+N30+N43+N56+N69+N82+N95+N108+N121+N134+N147+N160+N173+N186+N199+N212+N225+N238+N251+N264+N277+N290+N303+N316+N329+N342+N355+N368+N381+N394+N407+N433+N420</f>
        <v>245695.746</v>
      </c>
      <c r="O446" s="156">
        <f>O4+O17+O30+O43+O56+O69+O82+O95+O108+O121+O134+O147+O160+O173+O186+O199+O212+O225+O238+O251+O264+O277+O290+O303+O316+O329+O342+O355+O368+O381+O394+O407+O420+O433</f>
        <v>3601004.4819999994</v>
      </c>
      <c r="P446" s="156" t="s">
        <v>31</v>
      </c>
      <c r="Q446" s="129">
        <f aca="true" t="shared" si="134" ref="Q446:AU446">Q4+Q17+Q30+Q43+Q56+Q69+Q82+Q95+Q108+Q121+Q134+Q147+Q160+Q173+Q186+Q199+Q212+Q225+Q238+Q251+Q264+Q277+Q290+Q303+Q316+Q329+Q342+Q355+Q368+Q381+Q394+Q407</f>
        <v>2598157</v>
      </c>
      <c r="R446" s="129">
        <f t="shared" si="134"/>
        <v>22280</v>
      </c>
      <c r="S446" s="129">
        <f t="shared" si="134"/>
        <v>44003</v>
      </c>
      <c r="T446" s="129">
        <f t="shared" si="134"/>
        <v>5597</v>
      </c>
      <c r="U446" s="129">
        <f t="shared" si="134"/>
        <v>5191</v>
      </c>
      <c r="V446" s="129">
        <f t="shared" si="134"/>
        <v>24073</v>
      </c>
      <c r="W446" s="129">
        <f t="shared" si="134"/>
        <v>45996</v>
      </c>
      <c r="X446" s="129">
        <f t="shared" si="134"/>
        <v>14047</v>
      </c>
      <c r="Y446" s="129">
        <f t="shared" si="134"/>
        <v>18211</v>
      </c>
      <c r="Z446" s="129">
        <f t="shared" si="134"/>
        <v>1185</v>
      </c>
      <c r="AA446" s="129">
        <f t="shared" si="134"/>
        <v>48665</v>
      </c>
      <c r="AB446" s="129">
        <f t="shared" si="134"/>
        <v>1695</v>
      </c>
      <c r="AC446" s="129">
        <f t="shared" si="134"/>
        <v>77180</v>
      </c>
      <c r="AD446" s="129">
        <f t="shared" si="134"/>
        <v>181128</v>
      </c>
      <c r="AE446" s="129">
        <f t="shared" si="134"/>
        <v>22691</v>
      </c>
      <c r="AF446" s="129">
        <f>AF4+AF17+AF30+AF43+AF56+AF69+AF82+AF95+AF108+AF121+AF134+AF147+AF160+AF173+AF186+AF199+AF212+AF225+AF238+AF251+AF264+AF277+AF290+AF303+AF316+AF329+AF342+AF355+AF368+AF381+AF394+AF407</f>
        <v>47502</v>
      </c>
      <c r="AG446" s="129">
        <f>AG4+AG17+AG30+AG43+AG56+AG69+AG82+AG95+AG108+AG121+AG134+AG147+AG160+AG173+AG186+AG199+AG212+AG225+AG238+AG251+AG264+AG277+AG290+AG303+AG316+AG329+AG342+AG355+AG368+AG381+AG394+AG407</f>
        <v>4465</v>
      </c>
      <c r="AH446" s="129">
        <f>AH4+AH17+AH30+AH43+AH56+AH69+AH82+AH95+AH108+AH121+AH134+AH147+AH160+AH173+AH186+AH199+AH212+AH225+AH238+AH251+AH264+AH277+AH290+AH303+AH316+AH329+AH342+AH355+AH368+AH381+AH394+AH407</f>
        <v>966</v>
      </c>
      <c r="AI446" s="129">
        <f>AI4+AI17+AI30+AI43+AI56+AI69+AI82+AI95+AI108+AI121+AI134+AI147+AI160+AI173+AI186+AI199+AI212+AI225+AI238+AI251+AI264+AI277+AI290+AI303+AI316+AI329+AI342+AI355+AI368+AI381+AI394+AI407</f>
        <v>41954</v>
      </c>
      <c r="AJ446" s="129">
        <f t="shared" si="134"/>
        <v>7776</v>
      </c>
      <c r="AK446" s="129">
        <f t="shared" si="134"/>
        <v>375</v>
      </c>
      <c r="AL446" s="129">
        <f t="shared" si="134"/>
        <v>3130</v>
      </c>
      <c r="AM446" s="129">
        <f t="shared" si="134"/>
        <v>1309.78</v>
      </c>
      <c r="AN446" s="129">
        <f t="shared" si="134"/>
        <v>0</v>
      </c>
      <c r="AO446" s="129">
        <f t="shared" si="134"/>
        <v>16135.5</v>
      </c>
      <c r="AP446" s="129">
        <f t="shared" si="134"/>
        <v>0</v>
      </c>
      <c r="AQ446" s="129">
        <f t="shared" si="134"/>
        <v>2998.8</v>
      </c>
      <c r="AR446" s="129">
        <f>AR4+AR17+AR30+AR43+AR56+AR69+AR82+AR95+AR108+AR121+AR134+AR147+AR160+AR173+AR186+AR199+AR212+AR225+AR238+AR251+AR264+AR277+AR290+AR303+AR316+AR329+AR342+AR355+AR368+AR381+AR394+AR407</f>
        <v>0</v>
      </c>
      <c r="AS446" s="129">
        <f t="shared" si="134"/>
        <v>273252.282</v>
      </c>
      <c r="AT446" s="129">
        <f t="shared" si="134"/>
        <v>1000</v>
      </c>
      <c r="AU446" s="129">
        <f t="shared" si="134"/>
        <v>83998</v>
      </c>
      <c r="AV446" s="129">
        <f>AV16+AV29+AV42+AV55+AV68+AV81+AV94+AV107+AV120+AV133+AV146+AV159+AV172+AV185+AV198+AV211+AV224+AV237+AV250+AV263+AV276+AV289+AV302+AV315+AV328+AV341+AV354+AV367+AV380+AV393+AV406+AV419+AV432+AV445</f>
        <v>274516.4519999998</v>
      </c>
      <c r="AW446" s="218"/>
    </row>
    <row r="447" ht="13.5" thickTop="1">
      <c r="H447" s="51"/>
    </row>
    <row r="470" ht="15" customHeight="1"/>
    <row r="472" spans="2:65" s="4" customFormat="1" ht="22.5" customHeight="1">
      <c r="B472" s="6"/>
      <c r="C472" s="1"/>
      <c r="D472" s="1"/>
      <c r="E472" s="126"/>
      <c r="F472" s="1"/>
      <c r="G472" s="6"/>
      <c r="H472" s="22"/>
      <c r="I472" s="22"/>
      <c r="J472" s="22"/>
      <c r="K472" s="22"/>
      <c r="L472" s="22"/>
      <c r="M472" s="22"/>
      <c r="N472" s="22"/>
      <c r="O472" s="6"/>
      <c r="P472" s="111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</row>
    <row r="473" ht="29.25" customHeight="1">
      <c r="AW473" s="53"/>
    </row>
    <row r="482" spans="2:65" s="4" customFormat="1" ht="22.5" customHeight="1">
      <c r="B482" s="6"/>
      <c r="C482" s="1"/>
      <c r="D482" s="1"/>
      <c r="E482" s="126"/>
      <c r="F482" s="1"/>
      <c r="G482" s="6"/>
      <c r="H482" s="22"/>
      <c r="I482" s="22"/>
      <c r="J482" s="22"/>
      <c r="K482" s="22"/>
      <c r="L482" s="22"/>
      <c r="M482" s="22"/>
      <c r="N482" s="22"/>
      <c r="O482" s="6"/>
      <c r="P482" s="111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</row>
    <row r="484" spans="2:65" s="4" customFormat="1" ht="22.5" customHeight="1">
      <c r="B484" s="6"/>
      <c r="C484" s="1"/>
      <c r="D484" s="1"/>
      <c r="E484" s="126"/>
      <c r="F484" s="1"/>
      <c r="G484" s="6"/>
      <c r="H484" s="22"/>
      <c r="I484" s="22"/>
      <c r="J484" s="22"/>
      <c r="K484" s="22"/>
      <c r="L484" s="22"/>
      <c r="M484" s="22"/>
      <c r="N484" s="22"/>
      <c r="O484" s="6"/>
      <c r="P484" s="111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</row>
  </sheetData>
  <sheetProtection password="CE28" sheet="1" objects="1" scenarios="1" selectLockedCells="1" selectUnlockedCells="1"/>
  <autoFilter ref="B2:P3"/>
  <mergeCells count="16">
    <mergeCell ref="M2:M3"/>
    <mergeCell ref="N2:N3"/>
    <mergeCell ref="P2:P3"/>
    <mergeCell ref="J2:J3"/>
    <mergeCell ref="B446:E446"/>
    <mergeCell ref="O2:O3"/>
    <mergeCell ref="F2:F3"/>
    <mergeCell ref="D2:D3"/>
    <mergeCell ref="C2:C3"/>
    <mergeCell ref="B2:B3"/>
    <mergeCell ref="K2:K3"/>
    <mergeCell ref="L2:L3"/>
    <mergeCell ref="E2:E3"/>
    <mergeCell ref="G2:G3"/>
    <mergeCell ref="I2:I3"/>
    <mergeCell ref="H2:H3"/>
  </mergeCells>
  <printOptions/>
  <pageMargins left="0.3" right="0.11811023622047245" top="0.2362204724409449" bottom="0.15748031496062992" header="0.11811023622047245" footer="0.11811023622047245"/>
  <pageSetup horizontalDpi="600" verticalDpi="600" orientation="landscape" paperSize="9" scale="85" r:id="rId1"/>
  <rowBreaks count="1" manualBreakCount="1">
    <brk id="472" min="1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Алла</cp:lastModifiedBy>
  <cp:lastPrinted>2013-03-21T10:05:37Z</cp:lastPrinted>
  <dcterms:created xsi:type="dcterms:W3CDTF">1996-10-08T23:32:33Z</dcterms:created>
  <dcterms:modified xsi:type="dcterms:W3CDTF">2014-11-27T08:09:56Z</dcterms:modified>
  <cp:category/>
  <cp:version/>
  <cp:contentType/>
  <cp:contentStatus/>
</cp:coreProperties>
</file>