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алькуляция 2016-2017" sheetId="9" r:id="rId1"/>
  </sheets>
  <definedNames>
    <definedName name="_xlnm.Print_Area" localSheetId="0">'Калькуляция 2016-2017'!$A$1:$F$98</definedName>
  </definedNames>
  <calcPr calcId="152511"/>
</workbook>
</file>

<file path=xl/calcChain.xml><?xml version="1.0" encoding="utf-8"?>
<calcChain xmlns="http://schemas.openxmlformats.org/spreadsheetml/2006/main">
  <c r="E78" i="9" l="1"/>
  <c r="E87" i="9" s="1"/>
  <c r="E85" i="9"/>
  <c r="E80" i="9"/>
  <c r="E79" i="9"/>
  <c r="E77" i="9"/>
  <c r="E76" i="9"/>
  <c r="G9" i="9" l="1"/>
  <c r="G33" i="9"/>
  <c r="G68" i="9"/>
  <c r="G87" i="9"/>
  <c r="F95" i="9" l="1"/>
  <c r="E95" i="9"/>
  <c r="D95" i="9"/>
  <c r="C95" i="9"/>
  <c r="H68" i="9"/>
  <c r="H87" i="9" l="1"/>
  <c r="C65" i="9" l="1"/>
  <c r="D65" i="9" s="1"/>
  <c r="C81" i="9"/>
  <c r="D79" i="9"/>
  <c r="C82" i="9"/>
  <c r="D82" i="9" s="1"/>
  <c r="C84" i="9"/>
  <c r="D84" i="9" s="1"/>
  <c r="C83" i="9"/>
  <c r="D83" i="9" s="1"/>
  <c r="C24" i="9"/>
  <c r="D24" i="9" s="1"/>
  <c r="C48" i="9"/>
  <c r="D48" i="9" s="1"/>
  <c r="C9" i="9"/>
  <c r="D9" i="9" s="1"/>
  <c r="C15" i="9"/>
  <c r="D15" i="9" s="1"/>
  <c r="C20" i="9"/>
  <c r="C26" i="9"/>
  <c r="C44" i="9"/>
  <c r="C50" i="9"/>
  <c r="C56" i="9"/>
  <c r="C62" i="9"/>
  <c r="C19" i="9"/>
  <c r="C43" i="9"/>
  <c r="C55" i="9"/>
  <c r="C11" i="9"/>
  <c r="C17" i="9"/>
  <c r="C21" i="9"/>
  <c r="C27" i="9"/>
  <c r="C45" i="9"/>
  <c r="C51" i="9"/>
  <c r="C57" i="9"/>
  <c r="C63" i="9"/>
  <c r="C13" i="9"/>
  <c r="D13" i="9" s="1"/>
  <c r="C30" i="9"/>
  <c r="D30" i="9" s="1"/>
  <c r="C61" i="9"/>
  <c r="C12" i="9"/>
  <c r="C18" i="9"/>
  <c r="C22" i="9"/>
  <c r="C28" i="9"/>
  <c r="C41" i="9"/>
  <c r="C46" i="9"/>
  <c r="D46" i="9" s="1"/>
  <c r="C53" i="9"/>
  <c r="D53" i="9" s="1"/>
  <c r="C59" i="9"/>
  <c r="D59" i="9" s="1"/>
  <c r="D81" i="9" l="1"/>
  <c r="E81" i="9" s="1"/>
  <c r="D80" i="9"/>
  <c r="D76" i="9"/>
  <c r="C10" i="9"/>
  <c r="C25" i="9"/>
  <c r="C87" i="9" l="1"/>
  <c r="D86" i="9" l="1"/>
  <c r="D85" i="9"/>
  <c r="D78" i="9"/>
  <c r="D77" i="9"/>
  <c r="D64" i="9"/>
  <c r="C64" i="9"/>
  <c r="D63" i="9"/>
  <c r="D62" i="9"/>
  <c r="D61" i="9"/>
  <c r="D57" i="9"/>
  <c r="D56" i="9"/>
  <c r="D55" i="9"/>
  <c r="C54" i="9"/>
  <c r="D51" i="9"/>
  <c r="D50" i="9"/>
  <c r="C49" i="9"/>
  <c r="D49" i="9" s="1"/>
  <c r="D45" i="9"/>
  <c r="D44" i="9"/>
  <c r="D43" i="9"/>
  <c r="C42" i="9"/>
  <c r="D42" i="9" s="1"/>
  <c r="D29" i="9"/>
  <c r="D28" i="9"/>
  <c r="D27" i="9"/>
  <c r="D26" i="9"/>
  <c r="D25" i="9"/>
  <c r="D22" i="9"/>
  <c r="D21" i="9"/>
  <c r="D20" i="9"/>
  <c r="D19" i="9"/>
  <c r="D18" i="9"/>
  <c r="D17" i="9"/>
  <c r="D12" i="9"/>
  <c r="D11" i="9"/>
  <c r="D10" i="9"/>
  <c r="D87" i="9" l="1"/>
  <c r="D54" i="9"/>
  <c r="C52" i="9"/>
  <c r="D52" i="9" s="1"/>
  <c r="D8" i="9"/>
  <c r="D41" i="9"/>
  <c r="D40" i="9" s="1"/>
  <c r="C16" i="9"/>
  <c r="D16" i="9" s="1"/>
  <c r="C60" i="9"/>
  <c r="D60" i="9" s="1"/>
  <c r="C8" i="9"/>
  <c r="C40" i="9"/>
  <c r="C23" i="9"/>
  <c r="D23" i="9" s="1"/>
  <c r="C29" i="9"/>
  <c r="C47" i="9"/>
  <c r="D47" i="9" s="1"/>
  <c r="C14" i="9" l="1"/>
  <c r="D14" i="9" s="1"/>
  <c r="C58" i="9"/>
  <c r="D58" i="9" s="1"/>
  <c r="E66" i="9" s="1"/>
  <c r="E67" i="9" l="1"/>
  <c r="E68" i="9" s="1"/>
  <c r="C66" i="9"/>
  <c r="D66" i="9" s="1"/>
  <c r="C31" i="9"/>
  <c r="C67" i="9"/>
  <c r="D67" i="9" s="1"/>
  <c r="D68" i="9" s="1"/>
  <c r="D31" i="9" l="1"/>
  <c r="C68" i="9"/>
  <c r="C32" i="9"/>
  <c r="D32" i="9" s="1"/>
  <c r="C33" i="9" l="1"/>
  <c r="D33" i="9" s="1"/>
  <c r="F94" i="9" l="1"/>
  <c r="F98" i="9"/>
  <c r="D94" i="9" l="1"/>
  <c r="D98" i="9"/>
  <c r="E98" i="9"/>
  <c r="E94" i="9"/>
  <c r="C94" i="9"/>
</calcChain>
</file>

<file path=xl/sharedStrings.xml><?xml version="1.0" encoding="utf-8"?>
<sst xmlns="http://schemas.openxmlformats.org/spreadsheetml/2006/main" count="133" uniqueCount="83">
  <si>
    <t>Итого по разделам 1-6</t>
  </si>
  <si>
    <t>КАЛЬКУЛЯЦИЯ</t>
  </si>
  <si>
    <t>Наименование статей</t>
  </si>
  <si>
    <t>Затраты в месяц на всю площадь, руб.</t>
  </si>
  <si>
    <t>Затраты в месяц на 1 м2 , руб.</t>
  </si>
  <si>
    <t>1.</t>
  </si>
  <si>
    <t>Технические осмотры и обходы жилых домов. Подготовка жилых зданий к сезонной эксплуатации. Мероприятия по пожарной безопасности.</t>
  </si>
  <si>
    <t>1. Оплата труда рабочих, выполняющих осмотры и техническое обслуживание жилых знадний</t>
  </si>
  <si>
    <t>2. Страховые взносы 20,3%</t>
  </si>
  <si>
    <t>3. Затраты на материалы</t>
  </si>
  <si>
    <t>4. Прочие расходы</t>
  </si>
  <si>
    <t>2.</t>
  </si>
  <si>
    <t>Техническое обслуживание внутридомовых сетей электроснабжения</t>
  </si>
  <si>
    <t>3.</t>
  </si>
  <si>
    <t>Благоустройство и обеспечение санитарного состояния жилых зданий и придомовой территориии.</t>
  </si>
  <si>
    <t>1. Оплата труда рабочих, занятых обслуживанием жилых домов и придомовой территории.</t>
  </si>
  <si>
    <t>3. Услуги сторонних организаций</t>
  </si>
  <si>
    <t>4. Вывоз основной массы не бытового мусора и дворового смета</t>
  </si>
  <si>
    <t>5. Содержание и обустройство контейнерных площадок для сбора ТБО</t>
  </si>
  <si>
    <t>6. Транспортные расходы</t>
  </si>
  <si>
    <t>7. Прочие расходы</t>
  </si>
  <si>
    <t>4.</t>
  </si>
  <si>
    <t>Техническое обслуживание внутридомовых газовых сетей.</t>
  </si>
  <si>
    <t>5.</t>
  </si>
  <si>
    <t>Общеэксплуатационные расходы</t>
  </si>
  <si>
    <t>1. Оплата труда работников</t>
  </si>
  <si>
    <t>3. Амортизационные отчисления</t>
  </si>
  <si>
    <t>4. Содержание конторских и хоз.помещений</t>
  </si>
  <si>
    <t>5. Прочие расходы</t>
  </si>
  <si>
    <t>6.</t>
  </si>
  <si>
    <t>Прочие прямые затраты</t>
  </si>
  <si>
    <t>1. Сборы и отчисления</t>
  </si>
  <si>
    <t xml:space="preserve">7. </t>
  </si>
  <si>
    <t>Рентабельность  (5%)</t>
  </si>
  <si>
    <t>ИТОГО РАСХОДОВ</t>
  </si>
  <si>
    <t>Текущий ремонт конструктивных элементов жилых зданий</t>
  </si>
  <si>
    <t>1. Оплата труда рабочих</t>
  </si>
  <si>
    <t>2. Страховые взносы  20,3%</t>
  </si>
  <si>
    <t>4. Транспортные расходы</t>
  </si>
  <si>
    <t>Ремонт внутридомовых сетей электроснабжения, общедомовых приборов учета электрической энергии</t>
  </si>
  <si>
    <t>Ремонт внутридомового инженерного оборудования водопровдных и канализационных сетей, общедомовых приборов учета холодной воды</t>
  </si>
  <si>
    <t>Рентабельность</t>
  </si>
  <si>
    <t>1. Содержание и ремонт жилых помещений</t>
  </si>
  <si>
    <t>3. Водоснабжение, водоотведение</t>
  </si>
  <si>
    <t>4. Энергоснабжение</t>
  </si>
  <si>
    <t>Претензионная работа</t>
  </si>
  <si>
    <t xml:space="preserve">         * Всего муниципального жилищного фонда составляет 116474 м2, калькуляция рассчитана на площадь муниципального жилищного фонда, учтенная при выборе средних (преобладающих) условий - 86980 м2</t>
  </si>
  <si>
    <t>2. Центральное отопление</t>
  </si>
  <si>
    <t>Аварийно-диспетчерское обслуживание</t>
  </si>
  <si>
    <r>
      <t xml:space="preserve">на экономически обоснованный тариф по </t>
    </r>
    <r>
      <rPr>
        <b/>
        <u/>
        <sz val="12"/>
        <rFont val="Times New Roman"/>
        <family val="1"/>
        <charset val="204"/>
      </rPr>
      <t>управлению</t>
    </r>
  </si>
  <si>
    <r>
      <t xml:space="preserve">на экономически обоснованный тариф по </t>
    </r>
    <r>
      <rPr>
        <b/>
        <u/>
        <sz val="12"/>
        <rFont val="Times New Roman"/>
        <family val="1"/>
        <charset val="204"/>
      </rPr>
      <t>текущему ремонту</t>
    </r>
  </si>
  <si>
    <r>
      <t xml:space="preserve">на экономически обоснованный тариф по </t>
    </r>
    <r>
      <rPr>
        <b/>
        <u/>
        <sz val="12"/>
        <rFont val="Times New Roman"/>
        <family val="1"/>
        <charset val="204"/>
      </rPr>
      <t>содержанию</t>
    </r>
  </si>
  <si>
    <t>ТБО</t>
  </si>
  <si>
    <t>УУТЭ</t>
  </si>
  <si>
    <t>Сод, тек.р, управл.</t>
  </si>
  <si>
    <t>Примечание</t>
  </si>
  <si>
    <t>№</t>
  </si>
  <si>
    <t>Всего:</t>
  </si>
  <si>
    <t>Первичный регистрационный учет (услуги паспортиста и др.)</t>
  </si>
  <si>
    <t xml:space="preserve"> жилья на 1 м2 общей площади в месяц</t>
  </si>
  <si>
    <t xml:space="preserve"> на 1 м2 общей площади в месяц</t>
  </si>
  <si>
    <t>Приложение</t>
  </si>
  <si>
    <t>Услуги по сборам платежей (платежные агенты и т.п. по сбору платежей с населения), всего:</t>
  </si>
  <si>
    <t>Общая площадь* м2</t>
  </si>
  <si>
    <r>
      <t>Ремонт внутридомовой разводки центрального отопления</t>
    </r>
    <r>
      <rPr>
        <b/>
        <sz val="14"/>
        <color indexed="8"/>
        <rFont val="Times New Roman"/>
        <family val="1"/>
        <charset val="204"/>
      </rPr>
      <t>**</t>
    </r>
  </si>
  <si>
    <t>Затраты в месяц на 1 м2, руб.</t>
  </si>
  <si>
    <t>7.</t>
  </si>
  <si>
    <t>Организация учета потребления и контроля качества поставляемых коммунальных услуг</t>
  </si>
  <si>
    <t>Тариф-Управление полный</t>
  </si>
  <si>
    <t>Услуги по начислению, доставке платежных документов, учету платежей, ведение электр.базы</t>
  </si>
  <si>
    <t xml:space="preserve">АУП управляющей организации </t>
  </si>
  <si>
    <t>** Управление с АГВ, полностью без центр.отопления</t>
  </si>
  <si>
    <t>разница от полного тарифа</t>
  </si>
  <si>
    <t>индекс повышение с 1.07. 2016</t>
  </si>
  <si>
    <r>
      <t>/// Обслуживание домофонной системы: -</t>
    </r>
    <r>
      <rPr>
        <b/>
        <sz val="13"/>
        <rFont val="Times New Roman"/>
        <family val="1"/>
        <charset val="204"/>
      </rPr>
      <t xml:space="preserve"> 35 рублей с квартиры/мес</t>
    </r>
  </si>
  <si>
    <r>
      <t xml:space="preserve">/ Размер платы за обслуживание и ремонт общедомовых приборов учета тепловой энергии для многоквартирных домов, оборудованных общедом. приборами учета тепловой энергии: - </t>
    </r>
    <r>
      <rPr>
        <b/>
        <sz val="13"/>
        <rFont val="Times New Roman"/>
        <family val="1"/>
        <charset val="204"/>
      </rPr>
      <t>0,92 руб. за 1 кв.м</t>
    </r>
  </si>
  <si>
    <r>
      <t xml:space="preserve">// Сбор, вывоз и утилизация твердых бытовых отходов (ТБО): - </t>
    </r>
    <r>
      <rPr>
        <b/>
        <sz val="13"/>
        <rFont val="Times New Roman"/>
        <family val="1"/>
        <charset val="204"/>
      </rPr>
      <t>2,69 рублей за 1 кв.м.</t>
    </r>
  </si>
  <si>
    <r>
      <t>***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Тариф-НСУ основной (без части ст.Управление)</t>
    </r>
  </si>
  <si>
    <r>
      <t>***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Тариф-НСУ  без части ст.Управление и с АГВ, полностью без центр.отопления</t>
    </r>
  </si>
  <si>
    <t>с 01.07.2016г по 30.06.2017г</t>
  </si>
  <si>
    <t>Для МКЖД с АГВ, полностью без центр. отопления, п.4 калькуляции не применяется</t>
  </si>
  <si>
    <t>Кроме того, по тарифу утвержденному местными органами власти:</t>
  </si>
  <si>
    <t>дефференц.тариф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</si>
</sst>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3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/>
    <xf numFmtId="0" fontId="0" fillId="0" borderId="0" xfId="0" applyBorder="1"/>
    <xf numFmtId="2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5" fillId="0" borderId="1" xfId="0" applyFont="1" applyBorder="1"/>
    <xf numFmtId="0" fontId="18" fillId="0" borderId="0" xfId="0" applyFont="1"/>
    <xf numFmtId="2" fontId="19" fillId="0" borderId="1" xfId="0" applyNumberFormat="1" applyFont="1" applyBorder="1"/>
    <xf numFmtId="2" fontId="15" fillId="0" borderId="1" xfId="0" applyNumberFormat="1" applyFont="1" applyBorder="1"/>
    <xf numFmtId="2" fontId="4" fillId="0" borderId="0" xfId="0" applyNumberFormat="1" applyFont="1" applyBorder="1"/>
    <xf numFmtId="2" fontId="2" fillId="0" borderId="0" xfId="0" applyNumberFormat="1" applyFont="1" applyBorder="1"/>
    <xf numFmtId="0" fontId="2" fillId="0" borderId="4" xfId="0" applyFont="1" applyBorder="1"/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5" fillId="0" borderId="3" xfId="0" applyFont="1" applyBorder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3" fillId="0" borderId="4" xfId="0" applyFont="1" applyBorder="1" applyAlignment="1">
      <alignment horizontal="right" vertical="center"/>
    </xf>
    <xf numFmtId="0" fontId="24" fillId="0" borderId="0" xfId="0" applyFont="1"/>
    <xf numFmtId="0" fontId="2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7" fillId="0" borderId="3" xfId="0" applyNumberFormat="1" applyFont="1" applyBorder="1"/>
    <xf numFmtId="2" fontId="28" fillId="0" borderId="1" xfId="0" applyNumberFormat="1" applyFont="1" applyBorder="1"/>
    <xf numFmtId="2" fontId="27" fillId="0" borderId="1" xfId="0" applyNumberFormat="1" applyFont="1" applyBorder="1"/>
    <xf numFmtId="2" fontId="27" fillId="0" borderId="1" xfId="0" applyNumberFormat="1" applyFont="1" applyFill="1" applyBorder="1"/>
    <xf numFmtId="2" fontId="24" fillId="0" borderId="1" xfId="0" applyNumberFormat="1" applyFont="1" applyBorder="1"/>
    <xf numFmtId="0" fontId="30" fillId="0" borderId="0" xfId="0" applyFont="1" applyBorder="1" applyAlignment="1">
      <alignment horizontal="right"/>
    </xf>
    <xf numFmtId="2" fontId="19" fillId="0" borderId="2" xfId="0" applyNumberFormat="1" applyFont="1" applyBorder="1"/>
    <xf numFmtId="0" fontId="4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2" fontId="26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2" fontId="27" fillId="0" borderId="7" xfId="0" applyNumberFormat="1" applyFont="1" applyBorder="1" applyAlignment="1">
      <alignment horizontal="right" vertical="center"/>
    </xf>
    <xf numFmtId="2" fontId="27" fillId="0" borderId="7" xfId="0" applyNumberFormat="1" applyFont="1" applyBorder="1" applyAlignment="1">
      <alignment horizontal="right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2" fontId="23" fillId="0" borderId="3" xfId="0" applyNumberFormat="1" applyFont="1" applyBorder="1"/>
    <xf numFmtId="0" fontId="15" fillId="0" borderId="7" xfId="0" applyFont="1" applyBorder="1"/>
    <xf numFmtId="0" fontId="15" fillId="0" borderId="7" xfId="0" applyFont="1" applyBorder="1" applyAlignment="1">
      <alignment wrapText="1"/>
    </xf>
    <xf numFmtId="2" fontId="19" fillId="0" borderId="8" xfId="0" applyNumberFormat="1" applyFont="1" applyBorder="1"/>
    <xf numFmtId="2" fontId="19" fillId="0" borderId="7" xfId="0" applyNumberFormat="1" applyFont="1" applyBorder="1"/>
    <xf numFmtId="2" fontId="27" fillId="0" borderId="0" xfId="0" applyNumberFormat="1" applyFont="1" applyBorder="1"/>
    <xf numFmtId="2" fontId="28" fillId="0" borderId="0" xfId="0" applyNumberFormat="1" applyFont="1" applyBorder="1"/>
    <xf numFmtId="2" fontId="27" fillId="0" borderId="0" xfId="0" applyNumberFormat="1" applyFont="1" applyFill="1" applyBorder="1"/>
    <xf numFmtId="2" fontId="27" fillId="0" borderId="8" xfId="0" applyNumberFormat="1" applyFont="1" applyBorder="1"/>
    <xf numFmtId="2" fontId="31" fillId="0" borderId="4" xfId="0" applyNumberFormat="1" applyFont="1" applyBorder="1"/>
    <xf numFmtId="2" fontId="31" fillId="0" borderId="10" xfId="0" applyNumberFormat="1" applyFont="1" applyBorder="1"/>
    <xf numFmtId="2" fontId="2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22" fillId="0" borderId="11" xfId="0" applyFont="1" applyBorder="1"/>
    <xf numFmtId="2" fontId="34" fillId="0" borderId="1" xfId="0" applyNumberFormat="1" applyFont="1" applyBorder="1"/>
    <xf numFmtId="0" fontId="35" fillId="0" borderId="1" xfId="0" applyFont="1" applyBorder="1" applyAlignment="1">
      <alignment wrapText="1"/>
    </xf>
    <xf numFmtId="2" fontId="26" fillId="0" borderId="3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wrapText="1"/>
    </xf>
    <xf numFmtId="0" fontId="32" fillId="0" borderId="0" xfId="0" applyFont="1"/>
    <xf numFmtId="0" fontId="7" fillId="0" borderId="0" xfId="0" applyFont="1" applyAlignment="1">
      <alignment horizontal="center" vertical="center"/>
    </xf>
    <xf numFmtId="2" fontId="15" fillId="0" borderId="3" xfId="0" applyNumberFormat="1" applyFont="1" applyBorder="1"/>
    <xf numFmtId="2" fontId="5" fillId="0" borderId="1" xfId="0" applyNumberFormat="1" applyFont="1" applyBorder="1"/>
    <xf numFmtId="2" fontId="15" fillId="0" borderId="7" xfId="0" applyNumberFormat="1" applyFont="1" applyBorder="1"/>
    <xf numFmtId="0" fontId="6" fillId="0" borderId="0" xfId="0" applyFont="1"/>
    <xf numFmtId="0" fontId="6" fillId="0" borderId="4" xfId="0" applyFont="1" applyBorder="1"/>
    <xf numFmtId="0" fontId="32" fillId="0" borderId="4" xfId="0" applyFont="1" applyBorder="1"/>
    <xf numFmtId="0" fontId="32" fillId="0" borderId="0" xfId="0" applyFont="1" applyBorder="1"/>
    <xf numFmtId="2" fontId="11" fillId="0" borderId="0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wrapText="1"/>
    </xf>
    <xf numFmtId="0" fontId="33" fillId="0" borderId="12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/>
    <xf numFmtId="2" fontId="29" fillId="0" borderId="0" xfId="0" applyNumberFormat="1" applyFont="1" applyBorder="1"/>
    <xf numFmtId="0" fontId="38" fillId="0" borderId="12" xfId="0" applyFont="1" applyBorder="1" applyAlignment="1">
      <alignment horizontal="center" vertical="top" wrapText="1"/>
    </xf>
    <xf numFmtId="2" fontId="31" fillId="0" borderId="13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/>
    <xf numFmtId="0" fontId="40" fillId="0" borderId="0" xfId="0" applyFont="1" applyBorder="1" applyAlignment="1">
      <alignment horizontal="right"/>
    </xf>
    <xf numFmtId="0" fontId="41" fillId="0" borderId="9" xfId="0" applyFont="1" applyBorder="1"/>
    <xf numFmtId="0" fontId="41" fillId="0" borderId="0" xfId="0" applyFont="1" applyBorder="1"/>
    <xf numFmtId="0" fontId="41" fillId="0" borderId="14" xfId="0" applyFont="1" applyBorder="1"/>
    <xf numFmtId="0" fontId="40" fillId="0" borderId="0" xfId="0" applyFont="1" applyAlignment="1">
      <alignment horizontal="right"/>
    </xf>
    <xf numFmtId="0" fontId="41" fillId="0" borderId="3" xfId="0" applyFont="1" applyBorder="1"/>
    <xf numFmtId="0" fontId="41" fillId="0" borderId="6" xfId="0" applyFont="1" applyBorder="1"/>
    <xf numFmtId="0" fontId="41" fillId="0" borderId="15" xfId="0" applyFont="1" applyBorder="1"/>
    <xf numFmtId="0" fontId="24" fillId="0" borderId="0" xfId="0" applyFont="1" applyBorder="1"/>
    <xf numFmtId="0" fontId="11" fillId="0" borderId="0" xfId="0" applyFont="1" applyBorder="1"/>
    <xf numFmtId="2" fontId="29" fillId="0" borderId="3" xfId="0" applyNumberFormat="1" applyFont="1" applyBorder="1" applyAlignment="1">
      <alignment horizontal="center"/>
    </xf>
    <xf numFmtId="2" fontId="30" fillId="0" borderId="5" xfId="0" applyNumberFormat="1" applyFont="1" applyBorder="1"/>
    <xf numFmtId="2" fontId="30" fillId="0" borderId="16" xfId="0" applyNumberFormat="1" applyFont="1" applyBorder="1"/>
    <xf numFmtId="2" fontId="30" fillId="0" borderId="12" xfId="0" applyNumberFormat="1" applyFont="1" applyBorder="1"/>
    <xf numFmtId="2" fontId="26" fillId="0" borderId="0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2" fontId="28" fillId="0" borderId="1" xfId="0" applyNumberFormat="1" applyFont="1" applyFill="1" applyBorder="1"/>
    <xf numFmtId="0" fontId="7" fillId="0" borderId="0" xfId="0" applyFont="1" applyAlignment="1">
      <alignment horizontal="center" vertical="center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2" fontId="33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9"/>
  <sheetViews>
    <sheetView tabSelected="1" view="pageBreakPreview" topLeftCell="A61" zoomScale="80" zoomScaleNormal="80" zoomScaleSheetLayoutView="80" workbookViewId="0">
      <selection activeCell="F75" sqref="F75"/>
    </sheetView>
  </sheetViews>
  <sheetFormatPr defaultRowHeight="15" x14ac:dyDescent="0.25"/>
  <cols>
    <col min="1" max="1" width="4" customWidth="1"/>
    <col min="2" max="2" width="75.7109375" customWidth="1"/>
    <col min="3" max="3" width="17.28515625" customWidth="1"/>
    <col min="4" max="4" width="17.42578125" customWidth="1"/>
    <col min="5" max="5" width="16.85546875" customWidth="1"/>
    <col min="6" max="6" width="14.28515625" customWidth="1"/>
    <col min="7" max="7" width="15" hidden="1" customWidth="1"/>
    <col min="8" max="8" width="0" hidden="1" customWidth="1"/>
  </cols>
  <sheetData>
    <row r="1" spans="1:7" s="9" customFormat="1" ht="18.75" x14ac:dyDescent="0.3">
      <c r="A1" s="8"/>
      <c r="E1" s="10" t="s">
        <v>61</v>
      </c>
      <c r="F1" s="10"/>
    </row>
    <row r="2" spans="1:7" s="9" customFormat="1" ht="15.75" x14ac:dyDescent="0.25">
      <c r="A2" s="125" t="s">
        <v>1</v>
      </c>
      <c r="B2" s="125"/>
      <c r="C2" s="125"/>
      <c r="D2" s="125"/>
      <c r="E2" s="125"/>
      <c r="F2" s="84"/>
    </row>
    <row r="3" spans="1:7" s="9" customFormat="1" ht="15.75" x14ac:dyDescent="0.25">
      <c r="A3" s="125" t="s">
        <v>51</v>
      </c>
      <c r="B3" s="125"/>
      <c r="C3" s="125"/>
      <c r="D3" s="125"/>
      <c r="E3" s="125"/>
      <c r="F3" s="84"/>
    </row>
    <row r="4" spans="1:7" s="8" customFormat="1" ht="15.75" customHeight="1" x14ac:dyDescent="0.3">
      <c r="A4" s="125" t="s">
        <v>59</v>
      </c>
      <c r="B4" s="125"/>
      <c r="C4" s="125"/>
      <c r="D4" s="125"/>
      <c r="E4" s="125"/>
      <c r="F4" s="84"/>
    </row>
    <row r="5" spans="1:7" s="8" customFormat="1" ht="15.75" customHeight="1" x14ac:dyDescent="0.3">
      <c r="A5" s="130" t="s">
        <v>79</v>
      </c>
      <c r="B5" s="130"/>
      <c r="C5" s="130"/>
      <c r="D5" s="130"/>
      <c r="E5" s="130"/>
      <c r="F5" s="84"/>
    </row>
    <row r="6" spans="1:7" ht="15.75" thickBot="1" x14ac:dyDescent="0.3">
      <c r="A6" s="37"/>
      <c r="C6" s="28" t="s">
        <v>63</v>
      </c>
      <c r="D6" s="43">
        <v>86980</v>
      </c>
      <c r="E6" s="12"/>
      <c r="F6" s="12"/>
    </row>
    <row r="7" spans="1:7" ht="42.75" customHeight="1" thickTop="1" thickBot="1" x14ac:dyDescent="0.3">
      <c r="A7" s="40" t="s">
        <v>56</v>
      </c>
      <c r="B7" s="40" t="s">
        <v>2</v>
      </c>
      <c r="C7" s="41" t="s">
        <v>3</v>
      </c>
      <c r="D7" s="41" t="s">
        <v>4</v>
      </c>
      <c r="E7" s="41" t="s">
        <v>55</v>
      </c>
      <c r="F7" s="97"/>
      <c r="G7" s="77" t="s">
        <v>73</v>
      </c>
    </row>
    <row r="8" spans="1:7" ht="34.5" customHeight="1" thickTop="1" thickBot="1" x14ac:dyDescent="0.3">
      <c r="A8" s="38" t="s">
        <v>5</v>
      </c>
      <c r="B8" s="39" t="s">
        <v>6</v>
      </c>
      <c r="C8" s="47">
        <f>C9+C10+C11+C12</f>
        <v>102617.4488781</v>
      </c>
      <c r="D8" s="72">
        <f>D9+D10+D11+D12</f>
        <v>1.1797821209255002</v>
      </c>
      <c r="E8" s="69"/>
      <c r="F8" s="69"/>
      <c r="G8" s="107">
        <v>7.0000000000000007E-2</v>
      </c>
    </row>
    <row r="9" spans="1:7" ht="27" customHeight="1" thickBot="1" x14ac:dyDescent="0.3">
      <c r="A9" s="13"/>
      <c r="B9" s="15" t="s">
        <v>7</v>
      </c>
      <c r="C9" s="48">
        <f>70258.61*G9</f>
        <v>75176.712700000004</v>
      </c>
      <c r="D9" s="48">
        <f>C9/86980</f>
        <v>0.86429883536445162</v>
      </c>
      <c r="E9" s="70"/>
      <c r="F9" s="70"/>
      <c r="G9" s="78">
        <f>107/100</f>
        <v>1.07</v>
      </c>
    </row>
    <row r="10" spans="1:7" ht="14.25" customHeight="1" x14ac:dyDescent="0.25">
      <c r="A10" s="13"/>
      <c r="B10" s="80" t="s">
        <v>8</v>
      </c>
      <c r="C10" s="79">
        <f>C9*20.3/100</f>
        <v>15260.8726781</v>
      </c>
      <c r="D10" s="79">
        <f>C10/86980</f>
        <v>0.17545266357898368</v>
      </c>
      <c r="E10" s="70"/>
      <c r="F10" s="70"/>
    </row>
    <row r="11" spans="1:7" ht="14.25" customHeight="1" x14ac:dyDescent="0.25">
      <c r="A11" s="13"/>
      <c r="B11" s="15" t="s">
        <v>9</v>
      </c>
      <c r="C11" s="48">
        <f>9660*G9</f>
        <v>10336.200000000001</v>
      </c>
      <c r="D11" s="48">
        <f t="shared" ref="D11:D22" si="0">C11/86980</f>
        <v>0.11883421476201426</v>
      </c>
      <c r="E11" s="70"/>
      <c r="F11" s="70"/>
    </row>
    <row r="12" spans="1:7" ht="14.25" customHeight="1" x14ac:dyDescent="0.25">
      <c r="A12" s="13"/>
      <c r="B12" s="15" t="s">
        <v>10</v>
      </c>
      <c r="C12" s="48">
        <f>1723.05*G9</f>
        <v>1843.6635000000001</v>
      </c>
      <c r="D12" s="48">
        <f t="shared" si="0"/>
        <v>2.1196407220050589E-2</v>
      </c>
      <c r="E12" s="70"/>
      <c r="F12" s="70"/>
    </row>
    <row r="13" spans="1:7" ht="22.5" customHeight="1" x14ac:dyDescent="0.25">
      <c r="A13" s="13" t="s">
        <v>11</v>
      </c>
      <c r="B13" s="14" t="s">
        <v>12</v>
      </c>
      <c r="C13" s="49">
        <f>17696.16*G9</f>
        <v>18934.891200000002</v>
      </c>
      <c r="D13" s="49">
        <f>C13/86980-0.01</f>
        <v>0.2076924718326052</v>
      </c>
      <c r="E13" s="69"/>
      <c r="F13" s="69"/>
    </row>
    <row r="14" spans="1:7" ht="28.5" customHeight="1" x14ac:dyDescent="0.25">
      <c r="A14" s="13" t="s">
        <v>13</v>
      </c>
      <c r="B14" s="14" t="s">
        <v>14</v>
      </c>
      <c r="C14" s="49">
        <f>C15+C16+C17+C18+C19+C20+C21</f>
        <v>239698.21175310004</v>
      </c>
      <c r="D14" s="50">
        <f>C14/86980</f>
        <v>2.7557853731099109</v>
      </c>
      <c r="E14" s="71"/>
      <c r="F14" s="71"/>
    </row>
    <row r="15" spans="1:7" ht="28.5" customHeight="1" x14ac:dyDescent="0.25">
      <c r="A15" s="13"/>
      <c r="B15" s="15" t="s">
        <v>15</v>
      </c>
      <c r="C15" s="48">
        <f>94136.11*G9</f>
        <v>100725.63770000001</v>
      </c>
      <c r="D15" s="48">
        <f>C15/86980-0.01</f>
        <v>1.1480321648654863</v>
      </c>
      <c r="E15" s="70"/>
      <c r="F15" s="70"/>
      <c r="G15" s="83"/>
    </row>
    <row r="16" spans="1:7" ht="15.75" customHeight="1" x14ac:dyDescent="0.25">
      <c r="A16" s="13"/>
      <c r="B16" s="80" t="s">
        <v>8</v>
      </c>
      <c r="C16" s="79">
        <f>C15*20.3/100</f>
        <v>20447.304453100001</v>
      </c>
      <c r="D16" s="79">
        <f t="shared" si="0"/>
        <v>0.23508052946769373</v>
      </c>
      <c r="E16" s="70"/>
      <c r="F16" s="70"/>
      <c r="G16" s="83"/>
    </row>
    <row r="17" spans="1:7" ht="15.75" customHeight="1" x14ac:dyDescent="0.25">
      <c r="A17" s="13"/>
      <c r="B17" s="15" t="s">
        <v>16</v>
      </c>
      <c r="C17" s="48">
        <f>17734.5*G9</f>
        <v>18975.915000000001</v>
      </c>
      <c r="D17" s="48">
        <f t="shared" si="0"/>
        <v>0.21816411818808923</v>
      </c>
      <c r="E17" s="70"/>
      <c r="F17" s="70"/>
      <c r="G17" s="83"/>
    </row>
    <row r="18" spans="1:7" ht="15.75" customHeight="1" x14ac:dyDescent="0.25">
      <c r="A18" s="13"/>
      <c r="B18" s="123" t="s">
        <v>17</v>
      </c>
      <c r="C18" s="124">
        <f>31563.84*G9</f>
        <v>33773.308799999999</v>
      </c>
      <c r="D18" s="50">
        <f>C18/86980</f>
        <v>0.38828821338238673</v>
      </c>
      <c r="E18" s="69"/>
      <c r="F18" s="69"/>
      <c r="G18" s="83"/>
    </row>
    <row r="19" spans="1:7" ht="15.75" customHeight="1" x14ac:dyDescent="0.25">
      <c r="A19" s="13"/>
      <c r="B19" s="15" t="s">
        <v>18</v>
      </c>
      <c r="C19" s="48">
        <f>22450.55*G9</f>
        <v>24022.088500000002</v>
      </c>
      <c r="D19" s="48">
        <f>C19/86980</f>
        <v>0.27617944929868937</v>
      </c>
      <c r="E19" s="70"/>
      <c r="F19" s="70"/>
      <c r="G19" s="83"/>
    </row>
    <row r="20" spans="1:7" ht="15.75" customHeight="1" x14ac:dyDescent="0.25">
      <c r="A20" s="13"/>
      <c r="B20" s="15" t="s">
        <v>19</v>
      </c>
      <c r="C20" s="48">
        <f>31740.29*G9</f>
        <v>33962.1103</v>
      </c>
      <c r="D20" s="48">
        <f t="shared" si="0"/>
        <v>0.39045884456196828</v>
      </c>
      <c r="E20" s="70"/>
      <c r="F20" s="70"/>
      <c r="G20" s="83"/>
    </row>
    <row r="21" spans="1:7" ht="15.75" customHeight="1" x14ac:dyDescent="0.25">
      <c r="A21" s="13"/>
      <c r="B21" s="15" t="s">
        <v>20</v>
      </c>
      <c r="C21" s="48">
        <f>7282.1*G9</f>
        <v>7791.8470000000007</v>
      </c>
      <c r="D21" s="48">
        <f>C21/86980</f>
        <v>8.9582053345596699E-2</v>
      </c>
      <c r="E21" s="70"/>
      <c r="F21" s="70"/>
      <c r="G21" s="83"/>
    </row>
    <row r="22" spans="1:7" ht="22.5" customHeight="1" x14ac:dyDescent="0.25">
      <c r="A22" s="16" t="s">
        <v>21</v>
      </c>
      <c r="B22" s="14" t="s">
        <v>22</v>
      </c>
      <c r="C22" s="49">
        <f>18780.19*G9</f>
        <v>20094.8033</v>
      </c>
      <c r="D22" s="49">
        <f t="shared" si="0"/>
        <v>0.23102786042768453</v>
      </c>
      <c r="E22" s="69"/>
      <c r="F22" s="69"/>
      <c r="G22" s="83"/>
    </row>
    <row r="23" spans="1:7" ht="20.25" customHeight="1" x14ac:dyDescent="0.25">
      <c r="A23" s="13" t="s">
        <v>23</v>
      </c>
      <c r="B23" s="14" t="s">
        <v>24</v>
      </c>
      <c r="C23" s="49">
        <f>C24+C25+C26+C27+C28</f>
        <v>41484.008070000003</v>
      </c>
      <c r="D23" s="49">
        <f>C23/86980</f>
        <v>0.47693731972867331</v>
      </c>
      <c r="E23" s="69"/>
      <c r="F23" s="69"/>
      <c r="G23" s="83"/>
    </row>
    <row r="24" spans="1:7" ht="16.5" customHeight="1" x14ac:dyDescent="0.25">
      <c r="A24" s="13"/>
      <c r="B24" s="15" t="s">
        <v>25</v>
      </c>
      <c r="C24" s="51">
        <f>24067*G9</f>
        <v>25751.690000000002</v>
      </c>
      <c r="D24" s="48">
        <f>C24/86980</f>
        <v>0.2960644975856519</v>
      </c>
      <c r="E24" s="70"/>
      <c r="F24" s="70"/>
      <c r="G24" s="83"/>
    </row>
    <row r="25" spans="1:7" ht="16.5" customHeight="1" x14ac:dyDescent="0.25">
      <c r="A25" s="13"/>
      <c r="B25" s="80" t="s">
        <v>8</v>
      </c>
      <c r="C25" s="79">
        <f>C24*20.3/100</f>
        <v>5227.5930700000008</v>
      </c>
      <c r="D25" s="79">
        <f t="shared" ref="D25:D28" si="1">C25/86980</f>
        <v>6.0101093009887342E-2</v>
      </c>
      <c r="E25" s="70"/>
      <c r="F25" s="70"/>
      <c r="G25" s="83"/>
    </row>
    <row r="26" spans="1:7" ht="16.5" customHeight="1" x14ac:dyDescent="0.25">
      <c r="A26" s="13"/>
      <c r="B26" s="15" t="s">
        <v>26</v>
      </c>
      <c r="C26" s="48">
        <f>1575*G9</f>
        <v>1685.25</v>
      </c>
      <c r="D26" s="48">
        <f t="shared" si="1"/>
        <v>1.9375143711197976E-2</v>
      </c>
      <c r="E26" s="70"/>
      <c r="F26" s="70"/>
      <c r="G26" s="83"/>
    </row>
    <row r="27" spans="1:7" ht="16.5" customHeight="1" x14ac:dyDescent="0.25">
      <c r="A27" s="13"/>
      <c r="B27" s="15" t="s">
        <v>27</v>
      </c>
      <c r="C27" s="48">
        <f>5460*G9</f>
        <v>5842.2000000000007</v>
      </c>
      <c r="D27" s="48">
        <f t="shared" si="1"/>
        <v>6.7167164865486323E-2</v>
      </c>
      <c r="E27" s="70"/>
      <c r="F27" s="70"/>
      <c r="G27" s="83"/>
    </row>
    <row r="28" spans="1:7" ht="16.5" customHeight="1" x14ac:dyDescent="0.25">
      <c r="A28" s="13"/>
      <c r="B28" s="15" t="s">
        <v>28</v>
      </c>
      <c r="C28" s="48">
        <f>2782.5*G9</f>
        <v>2977.2750000000001</v>
      </c>
      <c r="D28" s="48">
        <f t="shared" si="1"/>
        <v>3.4229420556449758E-2</v>
      </c>
      <c r="E28" s="70"/>
      <c r="F28" s="70"/>
    </row>
    <row r="29" spans="1:7" ht="20.25" customHeight="1" x14ac:dyDescent="0.25">
      <c r="A29" s="13" t="s">
        <v>29</v>
      </c>
      <c r="B29" s="14" t="s">
        <v>30</v>
      </c>
      <c r="C29" s="49">
        <f>C30</f>
        <v>5928.2601000000004</v>
      </c>
      <c r="D29" s="49">
        <f>D30</f>
        <v>6.8156588871004828E-2</v>
      </c>
      <c r="E29" s="69"/>
      <c r="F29" s="69"/>
    </row>
    <row r="30" spans="1:7" ht="15.75" customHeight="1" x14ac:dyDescent="0.25">
      <c r="A30" s="17"/>
      <c r="B30" s="15" t="s">
        <v>31</v>
      </c>
      <c r="C30" s="48">
        <f>5540.43*G9</f>
        <v>5928.2601000000004</v>
      </c>
      <c r="D30" s="48">
        <f>C30/86980</f>
        <v>6.8156588871004828E-2</v>
      </c>
      <c r="E30" s="70"/>
      <c r="F30" s="70"/>
    </row>
    <row r="31" spans="1:7" ht="23.25" customHeight="1" x14ac:dyDescent="0.25">
      <c r="A31" s="17"/>
      <c r="B31" s="14" t="s">
        <v>0</v>
      </c>
      <c r="C31" s="49">
        <f>C8+C13+C14+C23+C22+C29</f>
        <v>428757.62330120004</v>
      </c>
      <c r="D31" s="49">
        <f>C31/86980</f>
        <v>4.9293817348953786</v>
      </c>
      <c r="E31" s="69"/>
      <c r="F31" s="69"/>
    </row>
    <row r="32" spans="1:7" ht="17.25" thickBot="1" x14ac:dyDescent="0.3">
      <c r="A32" s="62" t="s">
        <v>32</v>
      </c>
      <c r="B32" s="63" t="s">
        <v>33</v>
      </c>
      <c r="C32" s="59">
        <f>C31*5/100</f>
        <v>21437.88116506</v>
      </c>
      <c r="D32" s="60">
        <f>C32/86980</f>
        <v>0.24646908674476892</v>
      </c>
      <c r="E32" s="60"/>
      <c r="F32" s="98"/>
    </row>
    <row r="33" spans="1:7" ht="24.75" customHeight="1" thickTop="1" x14ac:dyDescent="0.25">
      <c r="A33" s="61"/>
      <c r="B33" s="55" t="s">
        <v>34</v>
      </c>
      <c r="C33" s="81">
        <f>C31+C32</f>
        <v>450195.50446626003</v>
      </c>
      <c r="D33" s="56">
        <f>C33/86980</f>
        <v>5.1758508216401475</v>
      </c>
      <c r="E33" s="56"/>
      <c r="F33" s="75"/>
      <c r="G33">
        <f>1.18+0.21+2.76+0.23+0.48+0.07+0.25</f>
        <v>5.18</v>
      </c>
    </row>
    <row r="34" spans="1:7" ht="9.75" customHeight="1" x14ac:dyDescent="0.3">
      <c r="A34" s="8"/>
      <c r="B34" s="8"/>
      <c r="C34" s="8"/>
      <c r="D34" s="10"/>
      <c r="E34" s="10"/>
      <c r="F34" s="10"/>
    </row>
    <row r="35" spans="1:7" ht="15.75" x14ac:dyDescent="0.25">
      <c r="A35" s="125" t="s">
        <v>1</v>
      </c>
      <c r="B35" s="125"/>
      <c r="C35" s="125"/>
      <c r="D35" s="125"/>
      <c r="E35" s="46"/>
      <c r="F35" s="84"/>
    </row>
    <row r="36" spans="1:7" ht="15.75" x14ac:dyDescent="0.25">
      <c r="A36" s="125" t="s">
        <v>50</v>
      </c>
      <c r="B36" s="125"/>
      <c r="C36" s="125"/>
      <c r="D36" s="125"/>
      <c r="E36" s="46"/>
      <c r="F36" s="84"/>
    </row>
    <row r="37" spans="1:7" ht="15.75" x14ac:dyDescent="0.25">
      <c r="A37" s="125" t="s">
        <v>59</v>
      </c>
      <c r="B37" s="125"/>
      <c r="C37" s="125"/>
      <c r="D37" s="125"/>
      <c r="E37" s="46"/>
      <c r="F37" s="84"/>
    </row>
    <row r="38" spans="1:7" ht="16.5" thickBot="1" x14ac:dyDescent="0.3">
      <c r="A38" s="27"/>
      <c r="B38" s="27"/>
      <c r="C38" s="28" t="s">
        <v>63</v>
      </c>
      <c r="D38" s="43">
        <v>86980</v>
      </c>
      <c r="E38" s="29"/>
      <c r="F38" s="99"/>
    </row>
    <row r="39" spans="1:7" ht="27" thickTop="1" thickBot="1" x14ac:dyDescent="0.3">
      <c r="A39" s="32" t="s">
        <v>56</v>
      </c>
      <c r="B39" s="32" t="s">
        <v>2</v>
      </c>
      <c r="C39" s="33" t="s">
        <v>3</v>
      </c>
      <c r="D39" s="33" t="s">
        <v>4</v>
      </c>
      <c r="E39" s="33" t="s">
        <v>55</v>
      </c>
      <c r="F39" s="100"/>
    </row>
    <row r="40" spans="1:7" ht="17.25" customHeight="1" thickTop="1" x14ac:dyDescent="0.25">
      <c r="A40" s="30" t="s">
        <v>5</v>
      </c>
      <c r="B40" s="31" t="s">
        <v>35</v>
      </c>
      <c r="C40" s="47">
        <f>C41+C42+C43+C44+C45</f>
        <v>184737.07211890002</v>
      </c>
      <c r="D40" s="47">
        <f>D41+D42+D43+D44+D45</f>
        <v>2.1239028755909404</v>
      </c>
      <c r="E40" s="25"/>
      <c r="F40" s="25"/>
    </row>
    <row r="41" spans="1:7" ht="17.25" customHeight="1" x14ac:dyDescent="0.25">
      <c r="A41" s="1"/>
      <c r="B41" s="3" t="s">
        <v>36</v>
      </c>
      <c r="C41" s="48">
        <f>87077.09*G9</f>
        <v>93172.486300000004</v>
      </c>
      <c r="D41" s="48">
        <f t="shared" ref="D41:D63" si="2">C41/86980</f>
        <v>1.0711943699701081</v>
      </c>
      <c r="E41" s="26"/>
      <c r="F41" s="26"/>
    </row>
    <row r="42" spans="1:7" ht="17.25" customHeight="1" x14ac:dyDescent="0.25">
      <c r="A42" s="1"/>
      <c r="B42" s="82" t="s">
        <v>37</v>
      </c>
      <c r="C42" s="79">
        <f>C41*20.3/100</f>
        <v>18914.014718900002</v>
      </c>
      <c r="D42" s="79">
        <f t="shared" si="2"/>
        <v>0.21745245710393196</v>
      </c>
      <c r="E42" s="26"/>
      <c r="F42" s="26"/>
    </row>
    <row r="43" spans="1:7" ht="17.25" customHeight="1" x14ac:dyDescent="0.25">
      <c r="A43" s="1"/>
      <c r="B43" s="3" t="s">
        <v>9</v>
      </c>
      <c r="C43" s="48">
        <f>54637.49*G9</f>
        <v>58462.114300000001</v>
      </c>
      <c r="D43" s="48">
        <f t="shared" si="2"/>
        <v>0.67213283858358241</v>
      </c>
      <c r="E43" s="26"/>
      <c r="F43" s="26"/>
    </row>
    <row r="44" spans="1:7" ht="17.25" customHeight="1" x14ac:dyDescent="0.25">
      <c r="A44" s="1"/>
      <c r="B44" s="3" t="s">
        <v>38</v>
      </c>
      <c r="C44" s="48">
        <f>10425.24*G9</f>
        <v>11155.006800000001</v>
      </c>
      <c r="D44" s="48">
        <f>C44/86980</f>
        <v>0.12824795125316166</v>
      </c>
      <c r="E44" s="26"/>
      <c r="F44" s="26"/>
    </row>
    <row r="45" spans="1:7" ht="17.25" customHeight="1" x14ac:dyDescent="0.25">
      <c r="A45" s="1"/>
      <c r="B45" s="3" t="s">
        <v>28</v>
      </c>
      <c r="C45" s="48">
        <f>2835*G9</f>
        <v>3033.4500000000003</v>
      </c>
      <c r="D45" s="48">
        <f t="shared" si="2"/>
        <v>3.4875258680156361E-2</v>
      </c>
      <c r="E45" s="26"/>
      <c r="F45" s="26"/>
    </row>
    <row r="46" spans="1:7" ht="28.5" customHeight="1" x14ac:dyDescent="0.25">
      <c r="A46" s="1" t="s">
        <v>11</v>
      </c>
      <c r="B46" s="2" t="s">
        <v>39</v>
      </c>
      <c r="C46" s="49">
        <f>16297.33*G9</f>
        <v>17438.143100000001</v>
      </c>
      <c r="D46" s="49">
        <f t="shared" si="2"/>
        <v>0.20048451483099564</v>
      </c>
      <c r="E46" s="25"/>
      <c r="F46" s="25"/>
    </row>
    <row r="47" spans="1:7" ht="33" customHeight="1" x14ac:dyDescent="0.25">
      <c r="A47" s="1" t="s">
        <v>13</v>
      </c>
      <c r="B47" s="2" t="s">
        <v>40</v>
      </c>
      <c r="C47" s="49">
        <f>C48+C49+C50+C51</f>
        <v>105779.3904915</v>
      </c>
      <c r="D47" s="49">
        <f>C47/86980+0.01</f>
        <v>1.2261346343009887</v>
      </c>
      <c r="E47" s="25"/>
      <c r="F47" s="25"/>
    </row>
    <row r="48" spans="1:7" ht="15.75" customHeight="1" x14ac:dyDescent="0.25">
      <c r="A48" s="1"/>
      <c r="B48" s="3" t="s">
        <v>36</v>
      </c>
      <c r="C48" s="48">
        <f>66421.15*G9</f>
        <v>71070.630499999999</v>
      </c>
      <c r="D48" s="48">
        <f>C48/86980</f>
        <v>0.81709163600827772</v>
      </c>
      <c r="E48" s="26"/>
      <c r="F48" s="26"/>
    </row>
    <row r="49" spans="1:6" ht="15.75" customHeight="1" x14ac:dyDescent="0.25">
      <c r="A49" s="1"/>
      <c r="B49" s="82" t="s">
        <v>8</v>
      </c>
      <c r="C49" s="79">
        <f>C48*20.3/100</f>
        <v>14427.3379915</v>
      </c>
      <c r="D49" s="79">
        <f>C49/86980</f>
        <v>0.16586960210968038</v>
      </c>
      <c r="E49" s="26"/>
      <c r="F49" s="26"/>
    </row>
    <row r="50" spans="1:6" ht="15.75" customHeight="1" x14ac:dyDescent="0.25">
      <c r="A50" s="1"/>
      <c r="B50" s="3" t="s">
        <v>9</v>
      </c>
      <c r="C50" s="48">
        <f>16833.6*G9</f>
        <v>18011.952000000001</v>
      </c>
      <c r="D50" s="48">
        <f>C50/86980</f>
        <v>0.20708153598528398</v>
      </c>
      <c r="E50" s="26"/>
      <c r="F50" s="26"/>
    </row>
    <row r="51" spans="1:6" ht="15.75" customHeight="1" x14ac:dyDescent="0.25">
      <c r="A51" s="1"/>
      <c r="B51" s="3" t="s">
        <v>10</v>
      </c>
      <c r="C51" s="48">
        <f>2121*G9</f>
        <v>2269.4700000000003</v>
      </c>
      <c r="D51" s="48">
        <f>C51/86980</f>
        <v>2.6091860197746612E-2</v>
      </c>
      <c r="E51" s="26"/>
      <c r="F51" s="26"/>
    </row>
    <row r="52" spans="1:6" ht="24" customHeight="1" x14ac:dyDescent="0.3">
      <c r="A52" s="1" t="s">
        <v>21</v>
      </c>
      <c r="B52" s="2" t="s">
        <v>64</v>
      </c>
      <c r="C52" s="49">
        <f>C53+C54+C55+C56+C57</f>
        <v>190920.06411220002</v>
      </c>
      <c r="D52" s="49">
        <f>C52/86980-0.01</f>
        <v>2.1849880905058638</v>
      </c>
      <c r="E52" s="129" t="s">
        <v>80</v>
      </c>
      <c r="F52" s="101"/>
    </row>
    <row r="53" spans="1:6" ht="15.75" customHeight="1" x14ac:dyDescent="0.25">
      <c r="A53" s="1"/>
      <c r="B53" s="3" t="s">
        <v>36</v>
      </c>
      <c r="C53" s="48">
        <f>74190.82*G9</f>
        <v>79384.177400000015</v>
      </c>
      <c r="D53" s="48">
        <f>C53/86980-0.02</f>
        <v>0.89267161876293422</v>
      </c>
      <c r="E53" s="129"/>
      <c r="F53" s="101"/>
    </row>
    <row r="54" spans="1:6" ht="15.75" customHeight="1" x14ac:dyDescent="0.25">
      <c r="A54" s="1"/>
      <c r="B54" s="82" t="s">
        <v>8</v>
      </c>
      <c r="C54" s="79">
        <f>C53*20.3/100</f>
        <v>16114.988012200003</v>
      </c>
      <c r="D54" s="79">
        <f>C54/86980</f>
        <v>0.18527233860887565</v>
      </c>
      <c r="E54" s="129"/>
      <c r="F54" s="101"/>
    </row>
    <row r="55" spans="1:6" ht="15.75" customHeight="1" x14ac:dyDescent="0.25">
      <c r="A55" s="1"/>
      <c r="B55" s="3" t="s">
        <v>9</v>
      </c>
      <c r="C55" s="48">
        <f>43785*G9</f>
        <v>46849.950000000004</v>
      </c>
      <c r="D55" s="48">
        <f t="shared" si="2"/>
        <v>0.5386289951713038</v>
      </c>
      <c r="E55" s="129"/>
      <c r="F55" s="101"/>
    </row>
    <row r="56" spans="1:6" ht="15.75" customHeight="1" x14ac:dyDescent="0.25">
      <c r="A56" s="1"/>
      <c r="B56" s="3" t="s">
        <v>38</v>
      </c>
      <c r="C56" s="48">
        <f>43083.41*G9</f>
        <v>46099.248700000004</v>
      </c>
      <c r="D56" s="48">
        <f t="shared" si="2"/>
        <v>0.5299982605196597</v>
      </c>
      <c r="E56" s="129"/>
      <c r="F56" s="101"/>
    </row>
    <row r="57" spans="1:6" ht="15.75" customHeight="1" x14ac:dyDescent="0.25">
      <c r="A57" s="1"/>
      <c r="B57" s="3" t="s">
        <v>28</v>
      </c>
      <c r="C57" s="48">
        <f>2310*G9</f>
        <v>2471.7000000000003</v>
      </c>
      <c r="D57" s="48">
        <f>C57/86980</f>
        <v>2.841687744309037E-2</v>
      </c>
      <c r="E57" s="129"/>
      <c r="F57" s="101"/>
    </row>
    <row r="58" spans="1:6" ht="17.25" customHeight="1" x14ac:dyDescent="0.25">
      <c r="A58" s="1" t="s">
        <v>23</v>
      </c>
      <c r="B58" s="2" t="s">
        <v>24</v>
      </c>
      <c r="C58" s="49">
        <f>C59+C60+C61+C62+C63</f>
        <v>44526.854842100001</v>
      </c>
      <c r="D58" s="49">
        <f>C58/86980</f>
        <v>0.51192061211887796</v>
      </c>
      <c r="E58" s="25"/>
      <c r="F58" s="25"/>
    </row>
    <row r="59" spans="1:6" ht="13.5" customHeight="1" x14ac:dyDescent="0.25">
      <c r="A59" s="1"/>
      <c r="B59" s="3" t="s">
        <v>36</v>
      </c>
      <c r="C59" s="48">
        <f>24067.01*G9</f>
        <v>25751.700700000001</v>
      </c>
      <c r="D59" s="48">
        <f>C59/86980-0.01</f>
        <v>0.28606462060243737</v>
      </c>
      <c r="E59" s="26"/>
      <c r="F59" s="26"/>
    </row>
    <row r="60" spans="1:6" ht="13.5" customHeight="1" x14ac:dyDescent="0.25">
      <c r="A60" s="1"/>
      <c r="B60" s="82" t="s">
        <v>37</v>
      </c>
      <c r="C60" s="79">
        <f>C59*20.3/100</f>
        <v>5227.5952421000002</v>
      </c>
      <c r="D60" s="79">
        <f t="shared" si="2"/>
        <v>6.0101117982294783E-2</v>
      </c>
      <c r="E60" s="26"/>
      <c r="F60" s="26"/>
    </row>
    <row r="61" spans="1:6" ht="13.5" customHeight="1" x14ac:dyDescent="0.25">
      <c r="A61" s="1"/>
      <c r="B61" s="3" t="s">
        <v>26</v>
      </c>
      <c r="C61" s="48">
        <f>2392.27*G9</f>
        <v>2559.7289000000001</v>
      </c>
      <c r="D61" s="48">
        <f t="shared" si="2"/>
        <v>2.9428936537134975E-2</v>
      </c>
      <c r="E61" s="26"/>
      <c r="F61" s="26"/>
    </row>
    <row r="62" spans="1:6" ht="13.5" customHeight="1" x14ac:dyDescent="0.25">
      <c r="A62" s="1"/>
      <c r="B62" s="3" t="s">
        <v>27</v>
      </c>
      <c r="C62" s="48">
        <f>8169*G9</f>
        <v>8740.83</v>
      </c>
      <c r="D62" s="48">
        <f t="shared" si="2"/>
        <v>0.10049241204874684</v>
      </c>
      <c r="E62" s="26"/>
      <c r="F62" s="26"/>
    </row>
    <row r="63" spans="1:6" ht="13.5" customHeight="1" x14ac:dyDescent="0.25">
      <c r="A63" s="1"/>
      <c r="B63" s="3" t="s">
        <v>28</v>
      </c>
      <c r="C63" s="48">
        <f>2100*G9</f>
        <v>2247</v>
      </c>
      <c r="D63" s="48">
        <f t="shared" si="2"/>
        <v>2.5833524948263967E-2</v>
      </c>
      <c r="E63" s="26"/>
      <c r="F63" s="26"/>
    </row>
    <row r="64" spans="1:6" ht="19.5" customHeight="1" x14ac:dyDescent="0.25">
      <c r="A64" s="1" t="s">
        <v>29</v>
      </c>
      <c r="B64" s="2" t="s">
        <v>30</v>
      </c>
      <c r="C64" s="49">
        <f>C65</f>
        <v>5460.21</v>
      </c>
      <c r="D64" s="49">
        <f>D65</f>
        <v>6.2775465624281448E-2</v>
      </c>
      <c r="E64" s="25"/>
      <c r="F64" s="25"/>
    </row>
    <row r="65" spans="1:8" ht="18.75" customHeight="1" x14ac:dyDescent="0.25">
      <c r="A65" s="5"/>
      <c r="B65" s="3" t="s">
        <v>31</v>
      </c>
      <c r="C65" s="48">
        <f>5103*G9</f>
        <v>5460.21</v>
      </c>
      <c r="D65" s="48">
        <f>C65/86980</f>
        <v>6.2775465624281448E-2</v>
      </c>
      <c r="E65" s="26"/>
      <c r="F65" s="26"/>
    </row>
    <row r="66" spans="1:8" ht="20.25" customHeight="1" x14ac:dyDescent="0.25">
      <c r="A66" s="5"/>
      <c r="B66" s="2" t="s">
        <v>0</v>
      </c>
      <c r="C66" s="49">
        <f>C40+C46+C47+C52+C58+C64</f>
        <v>548861.73466469999</v>
      </c>
      <c r="D66" s="49">
        <f>C66/86980-0.01</f>
        <v>6.3002061929719479</v>
      </c>
      <c r="E66" s="49">
        <f>D40+D46+D47+D58+D64-0.01</f>
        <v>4.1152181024660841</v>
      </c>
      <c r="F66" s="69"/>
    </row>
    <row r="67" spans="1:8" ht="24.75" customHeight="1" thickBot="1" x14ac:dyDescent="0.3">
      <c r="A67" s="57" t="s">
        <v>32</v>
      </c>
      <c r="B67" s="58" t="s">
        <v>41</v>
      </c>
      <c r="C67" s="59">
        <f>(C40+C46+C47+C52+C58+C64)*5/100</f>
        <v>27443.086733234999</v>
      </c>
      <c r="D67" s="60">
        <f>C67/86980</f>
        <v>0.31551030964859739</v>
      </c>
      <c r="E67" s="60">
        <f>E66*5%</f>
        <v>0.20576090512330422</v>
      </c>
      <c r="F67" s="98"/>
    </row>
    <row r="68" spans="1:8" ht="24.75" customHeight="1" thickTop="1" x14ac:dyDescent="0.25">
      <c r="A68" s="54"/>
      <c r="B68" s="55" t="s">
        <v>34</v>
      </c>
      <c r="C68" s="81">
        <f>C40+C46+C47+C52+C58+C64+C67</f>
        <v>576304.82139793504</v>
      </c>
      <c r="D68" s="56">
        <f>D40+D46+D47+D52+D58+D64+D67-0.01</f>
        <v>6.6157165026205451</v>
      </c>
      <c r="E68" s="56">
        <f>E66+E67+0.01</f>
        <v>4.3309790075893879</v>
      </c>
      <c r="F68" s="122"/>
      <c r="G68" s="7">
        <f>2.12+0.2+1.23+2.18+0.51+0.06+0.32</f>
        <v>6.62</v>
      </c>
      <c r="H68">
        <f>2.12+0.2+1.23+0.51+0.06+0.21</f>
        <v>4.33</v>
      </c>
    </row>
    <row r="69" spans="1:8" ht="10.5" customHeight="1" x14ac:dyDescent="0.25"/>
    <row r="70" spans="1:8" ht="21" customHeight="1" x14ac:dyDescent="0.25">
      <c r="B70" s="76"/>
      <c r="C70" s="76"/>
      <c r="D70" s="42"/>
      <c r="G70" s="7"/>
    </row>
    <row r="71" spans="1:8" ht="15.75" x14ac:dyDescent="0.25">
      <c r="A71" s="125" t="s">
        <v>1</v>
      </c>
      <c r="B71" s="125"/>
      <c r="C71" s="125"/>
      <c r="D71" s="125"/>
      <c r="E71" s="46"/>
      <c r="F71" s="84"/>
    </row>
    <row r="72" spans="1:8" ht="15.75" x14ac:dyDescent="0.25">
      <c r="A72" s="125" t="s">
        <v>49</v>
      </c>
      <c r="B72" s="125"/>
      <c r="C72" s="125"/>
      <c r="D72" s="125"/>
      <c r="E72" s="46"/>
      <c r="F72" s="84"/>
    </row>
    <row r="73" spans="1:8" ht="15.75" x14ac:dyDescent="0.25">
      <c r="A73" s="125" t="s">
        <v>60</v>
      </c>
      <c r="B73" s="125"/>
      <c r="C73" s="125"/>
      <c r="D73" s="125"/>
      <c r="E73" s="46"/>
      <c r="F73" s="84"/>
    </row>
    <row r="74" spans="1:8" ht="19.5" thickBot="1" x14ac:dyDescent="0.35">
      <c r="A74" s="34"/>
      <c r="B74" s="34"/>
      <c r="C74" s="28" t="s">
        <v>63</v>
      </c>
      <c r="D74" s="43">
        <v>86980</v>
      </c>
      <c r="E74" s="12"/>
      <c r="F74" s="12"/>
    </row>
    <row r="75" spans="1:8" ht="55.5" customHeight="1" thickTop="1" thickBot="1" x14ac:dyDescent="0.3">
      <c r="A75" s="36" t="s">
        <v>56</v>
      </c>
      <c r="B75" s="36" t="s">
        <v>2</v>
      </c>
      <c r="C75" s="45" t="s">
        <v>3</v>
      </c>
      <c r="D75" s="45" t="s">
        <v>65</v>
      </c>
      <c r="E75" s="33" t="s">
        <v>82</v>
      </c>
      <c r="F75" s="100"/>
    </row>
    <row r="76" spans="1:8" ht="38.25" customHeight="1" thickTop="1" x14ac:dyDescent="0.3">
      <c r="A76" s="35" t="s">
        <v>5</v>
      </c>
      <c r="B76" s="20" t="s">
        <v>62</v>
      </c>
      <c r="C76" s="85">
        <v>13861.21</v>
      </c>
      <c r="D76" s="67">
        <f>C76/86980</f>
        <v>0.15936088756035868</v>
      </c>
      <c r="E76" s="67">
        <f>D76</f>
        <v>0.15936088756035868</v>
      </c>
      <c r="F76" s="102"/>
    </row>
    <row r="77" spans="1:8" ht="37.5" customHeight="1" x14ac:dyDescent="0.3">
      <c r="A77" s="19" t="s">
        <v>11</v>
      </c>
      <c r="B77" s="20" t="s">
        <v>69</v>
      </c>
      <c r="C77" s="24">
        <v>31187.72</v>
      </c>
      <c r="D77" s="23">
        <f>C77/86980</f>
        <v>0.35856196826856751</v>
      </c>
      <c r="E77" s="23">
        <f>D77</f>
        <v>0.35856196826856751</v>
      </c>
      <c r="F77" s="102"/>
    </row>
    <row r="78" spans="1:8" ht="18.75" x14ac:dyDescent="0.3">
      <c r="A78" s="19" t="s">
        <v>13</v>
      </c>
      <c r="B78" s="19" t="s">
        <v>70</v>
      </c>
      <c r="C78" s="24">
        <v>218314.06</v>
      </c>
      <c r="D78" s="53">
        <f>C78/86980</f>
        <v>2.5099340078178893</v>
      </c>
      <c r="E78" s="23">
        <f>D78-0.91</f>
        <v>1.5999340078178892</v>
      </c>
      <c r="F78" s="102"/>
    </row>
    <row r="79" spans="1:8" ht="18.75" x14ac:dyDescent="0.3">
      <c r="A79" s="19" t="s">
        <v>21</v>
      </c>
      <c r="B79" s="19" t="s">
        <v>48</v>
      </c>
      <c r="C79" s="24">
        <v>24257.119999999999</v>
      </c>
      <c r="D79" s="23">
        <f>C79/86980+0.01</f>
        <v>0.28888158197286734</v>
      </c>
      <c r="E79" s="23">
        <f>D79</f>
        <v>0.28888158197286734</v>
      </c>
      <c r="F79" s="102"/>
    </row>
    <row r="80" spans="1:8" ht="18.75" x14ac:dyDescent="0.3">
      <c r="A80" s="19" t="s">
        <v>23</v>
      </c>
      <c r="B80" s="19" t="s">
        <v>45</v>
      </c>
      <c r="C80" s="24">
        <v>24257.119999999999</v>
      </c>
      <c r="D80" s="23">
        <f>C80/86980-0.01</f>
        <v>0.26888158197286732</v>
      </c>
      <c r="E80" s="23">
        <f>D80</f>
        <v>0.26888158197286732</v>
      </c>
      <c r="F80" s="102"/>
    </row>
    <row r="81" spans="1:8" ht="15.75" hidden="1" customHeight="1" x14ac:dyDescent="0.3">
      <c r="A81" s="18"/>
      <c r="B81" s="21" t="s">
        <v>42</v>
      </c>
      <c r="C81" s="86">
        <f>6393.03*G9</f>
        <v>6840.5421000000006</v>
      </c>
      <c r="D81" s="4">
        <f>C81/86980</f>
        <v>7.8645000000000007E-2</v>
      </c>
      <c r="E81" s="4">
        <f>D81-0.01</f>
        <v>6.8645000000000012E-2</v>
      </c>
      <c r="F81" s="26"/>
    </row>
    <row r="82" spans="1:8" ht="15.75" hidden="1" customHeight="1" x14ac:dyDescent="0.3">
      <c r="A82" s="18"/>
      <c r="B82" s="21" t="s">
        <v>47</v>
      </c>
      <c r="C82" s="86">
        <f>5479.74*G9</f>
        <v>5863.3217999999997</v>
      </c>
      <c r="D82" s="4">
        <f t="shared" ref="D82:D84" si="3">C82/86980</f>
        <v>6.7409999999999998E-2</v>
      </c>
      <c r="E82" s="4"/>
      <c r="F82" s="26"/>
    </row>
    <row r="83" spans="1:8" ht="15.75" hidden="1" customHeight="1" x14ac:dyDescent="0.3">
      <c r="A83" s="18"/>
      <c r="B83" s="21" t="s">
        <v>43</v>
      </c>
      <c r="C83" s="86">
        <f>3653.16*G9</f>
        <v>3908.8812000000003</v>
      </c>
      <c r="D83" s="4">
        <f t="shared" si="3"/>
        <v>4.4940000000000001E-2</v>
      </c>
      <c r="E83" s="4"/>
      <c r="F83" s="26"/>
    </row>
    <row r="84" spans="1:8" ht="15.75" hidden="1" customHeight="1" x14ac:dyDescent="0.3">
      <c r="A84" s="18"/>
      <c r="B84" s="21" t="s">
        <v>44</v>
      </c>
      <c r="C84" s="86">
        <f>5479.74*G9</f>
        <v>5863.3217999999997</v>
      </c>
      <c r="D84" s="4">
        <f t="shared" si="3"/>
        <v>6.7409999999999998E-2</v>
      </c>
      <c r="E84" s="4"/>
      <c r="F84" s="26"/>
    </row>
    <row r="85" spans="1:8" ht="33" customHeight="1" x14ac:dyDescent="0.3">
      <c r="A85" s="19" t="s">
        <v>29</v>
      </c>
      <c r="B85" s="20" t="s">
        <v>58</v>
      </c>
      <c r="C85" s="24">
        <v>27722.42</v>
      </c>
      <c r="D85" s="23">
        <f>C85/86980</f>
        <v>0.31872177512071737</v>
      </c>
      <c r="E85" s="23">
        <f>D85</f>
        <v>0.31872177512071737</v>
      </c>
      <c r="F85" s="102"/>
    </row>
    <row r="86" spans="1:8" ht="39" customHeight="1" thickBot="1" x14ac:dyDescent="0.35">
      <c r="A86" s="65" t="s">
        <v>66</v>
      </c>
      <c r="B86" s="66" t="s">
        <v>67</v>
      </c>
      <c r="C86" s="87">
        <v>6930.61</v>
      </c>
      <c r="D86" s="68">
        <f>C86/86980</f>
        <v>7.9680501264658532E-2</v>
      </c>
      <c r="E86" s="68">
        <v>0</v>
      </c>
      <c r="F86" s="102"/>
    </row>
    <row r="87" spans="1:8" ht="28.5" customHeight="1" thickTop="1" x14ac:dyDescent="0.35">
      <c r="A87" s="35"/>
      <c r="B87" s="35" t="s">
        <v>34</v>
      </c>
      <c r="C87" s="64">
        <f>C76+C77+C78+C80+C85+C79+C86</f>
        <v>346530.25999999995</v>
      </c>
      <c r="D87" s="118">
        <f>D76+D77+D78+D80+D85+D79+D86</f>
        <v>3.9840223039779254</v>
      </c>
      <c r="E87" s="118">
        <f>E76+E77+E78+E80+E85+E79+E86</f>
        <v>2.9943418027132669</v>
      </c>
      <c r="F87" s="103"/>
      <c r="G87">
        <f>1.05+1.77+0.47+0.2+0.25+0.19+0.05</f>
        <v>3.98</v>
      </c>
      <c r="H87">
        <f>0.7+1.36+0.47+0.2+0.07+0.19+0</f>
        <v>2.99</v>
      </c>
    </row>
    <row r="88" spans="1:8" ht="30" hidden="1" customHeight="1" x14ac:dyDescent="0.25">
      <c r="A88" s="127" t="s">
        <v>46</v>
      </c>
      <c r="B88" s="127"/>
      <c r="C88" s="127"/>
      <c r="D88" s="127"/>
      <c r="E88" s="93"/>
      <c r="F88" s="93"/>
      <c r="G88" s="7"/>
    </row>
    <row r="89" spans="1:8" s="22" customFormat="1" ht="16.5" customHeight="1" x14ac:dyDescent="0.3">
      <c r="A89" s="128" t="s">
        <v>81</v>
      </c>
      <c r="B89" s="128"/>
      <c r="C89" s="128"/>
      <c r="D89" s="128"/>
      <c r="E89" s="92"/>
      <c r="F89" s="92"/>
    </row>
    <row r="90" spans="1:8" s="9" customFormat="1" ht="47.25" customHeight="1" x14ac:dyDescent="0.25">
      <c r="A90" s="126" t="s">
        <v>75</v>
      </c>
      <c r="B90" s="126"/>
      <c r="C90" s="126"/>
      <c r="D90" s="94"/>
      <c r="E90" s="92"/>
      <c r="F90" s="92"/>
    </row>
    <row r="91" spans="1:8" s="9" customFormat="1" ht="16.5" customHeight="1" x14ac:dyDescent="0.25">
      <c r="A91" s="116" t="s">
        <v>76</v>
      </c>
      <c r="B91" s="117"/>
      <c r="C91" s="117"/>
      <c r="D91" s="91"/>
      <c r="E91" s="92"/>
      <c r="F91" s="92"/>
    </row>
    <row r="92" spans="1:8" s="9" customFormat="1" ht="17.25" thickBot="1" x14ac:dyDescent="0.3">
      <c r="A92" s="44" t="s">
        <v>74</v>
      </c>
      <c r="B92" s="88"/>
      <c r="C92" s="89"/>
      <c r="D92" s="90"/>
      <c r="E92" s="90"/>
      <c r="F92" s="91"/>
    </row>
    <row r="93" spans="1:8" s="9" customFormat="1" ht="72" hidden="1" customHeight="1" thickTop="1" thickBot="1" x14ac:dyDescent="0.3">
      <c r="A93" s="44"/>
      <c r="B93" s="11"/>
      <c r="C93" s="96" t="s">
        <v>68</v>
      </c>
      <c r="D93" s="95" t="s">
        <v>71</v>
      </c>
      <c r="E93" s="104" t="s">
        <v>77</v>
      </c>
      <c r="F93" s="104" t="s">
        <v>78</v>
      </c>
    </row>
    <row r="94" spans="1:8" ht="20.25" hidden="1" thickTop="1" thickBot="1" x14ac:dyDescent="0.35">
      <c r="A94" s="6"/>
      <c r="B94" s="52" t="s">
        <v>57</v>
      </c>
      <c r="C94" s="74">
        <f>C95+C96+C97</f>
        <v>19.390000000000004</v>
      </c>
      <c r="D94" s="74">
        <f>D95+D96+D97</f>
        <v>16.18</v>
      </c>
      <c r="E94" s="73">
        <f>E95+E96+E97</f>
        <v>18.400000000000002</v>
      </c>
      <c r="F94" s="105">
        <f>F95+F96+F97</f>
        <v>15.19</v>
      </c>
    </row>
    <row r="95" spans="1:8" ht="20.25" hidden="1" thickTop="1" thickBot="1" x14ac:dyDescent="0.35">
      <c r="A95" s="6"/>
      <c r="B95" s="52" t="s">
        <v>54</v>
      </c>
      <c r="C95" s="119">
        <f>5.18+6.62+3.98</f>
        <v>15.780000000000001</v>
      </c>
      <c r="D95" s="119">
        <f>5.18+4.33+3.98</f>
        <v>13.49</v>
      </c>
      <c r="E95" s="120">
        <f>5.18+6.62+2.99</f>
        <v>14.790000000000001</v>
      </c>
      <c r="F95" s="121">
        <f>5.18+4.33+2.99</f>
        <v>12.5</v>
      </c>
    </row>
    <row r="96" spans="1:8" ht="16.5" hidden="1" thickTop="1" x14ac:dyDescent="0.25">
      <c r="A96" s="6"/>
      <c r="B96" s="108" t="s">
        <v>52</v>
      </c>
      <c r="C96" s="109">
        <v>2.69</v>
      </c>
      <c r="D96" s="109">
        <v>2.69</v>
      </c>
      <c r="E96" s="110">
        <v>2.69</v>
      </c>
      <c r="F96" s="111">
        <v>2.69</v>
      </c>
    </row>
    <row r="97" spans="2:6" ht="15.75" hidden="1" x14ac:dyDescent="0.25">
      <c r="B97" s="112" t="s">
        <v>53</v>
      </c>
      <c r="C97" s="113">
        <v>0.92</v>
      </c>
      <c r="D97" s="113">
        <v>0</v>
      </c>
      <c r="E97" s="114">
        <v>0.92</v>
      </c>
      <c r="F97" s="115">
        <v>0</v>
      </c>
    </row>
    <row r="98" spans="2:6" hidden="1" x14ac:dyDescent="0.25">
      <c r="B98" s="106" t="s">
        <v>72</v>
      </c>
      <c r="C98" s="106">
        <v>0</v>
      </c>
      <c r="D98" s="7">
        <f>D95-C95</f>
        <v>-2.2900000000000009</v>
      </c>
      <c r="E98" s="7">
        <f>E95-C95</f>
        <v>-0.99000000000000021</v>
      </c>
      <c r="F98" s="7">
        <f>F95-C95</f>
        <v>-3.2800000000000011</v>
      </c>
    </row>
    <row r="99" spans="2:6" ht="15.75" thickTop="1" x14ac:dyDescent="0.25"/>
  </sheetData>
  <sheetProtection algorithmName="SHA-512" hashValue="Bm0BxkD/S3CJEk5AU8shbpUtd0uq9f31n+wSbbIKnyYEMG8ZtFl5ppHNCHrkSzt2bDOHxkY9a5r+WNxGw5ZXKQ==" saltValue="SbqJ/ff9kks5s6OG1rZ0+g==" spinCount="100000" sheet="1" objects="1" scenarios="1"/>
  <mergeCells count="14">
    <mergeCell ref="A2:E2"/>
    <mergeCell ref="A3:E3"/>
    <mergeCell ref="A4:E4"/>
    <mergeCell ref="A90:C90"/>
    <mergeCell ref="A36:D36"/>
    <mergeCell ref="A35:D35"/>
    <mergeCell ref="A88:D88"/>
    <mergeCell ref="A89:D89"/>
    <mergeCell ref="A37:D37"/>
    <mergeCell ref="E52:E57"/>
    <mergeCell ref="A71:D71"/>
    <mergeCell ref="A72:D72"/>
    <mergeCell ref="A73:D73"/>
    <mergeCell ref="A5:E5"/>
  </mergeCells>
  <pageMargins left="0.7" right="0.7" top="0.75" bottom="0.75" header="0.3" footer="0.3"/>
  <pageSetup paperSize="9" scale="57" orientation="portrait" horizontalDpi="180" verticalDpi="180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Калькуляция 2016-2017</vt:lpstr>
      <vt:lpstr>'Калькуляция 2016-2017'!Область_печати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2018-11-07T08:58:55Z</dcterms:modified>
</cp:coreProperties>
</file>